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ll\Desktop\交土学院教学资料\培养计划\2019级大校培养计划\"/>
    </mc:Choice>
  </mc:AlternateContent>
  <bookViews>
    <workbookView xWindow="0" yWindow="0" windowWidth="19485" windowHeight="9585" tabRatio="806"/>
  </bookViews>
  <sheets>
    <sheet name="非师范类" sheetId="11" r:id="rId1"/>
    <sheet name="师范类" sheetId="20" r:id="rId2"/>
    <sheet name="使用说明" sheetId="12" r:id="rId3"/>
  </sheets>
  <definedNames>
    <definedName name="_xlnm._FilterDatabase" localSheetId="2" hidden="1">使用说明!$A$32:$G$134</definedName>
    <definedName name="_xlnm.Print_Area" localSheetId="0">非师范类!$A$3:$Q$188</definedName>
    <definedName name="_xlnm.Print_Area" localSheetId="1">师范类!$A$3:$Q$217</definedName>
    <definedName name="_xlnm.Print_Area" localSheetId="2">使用说明!$A$1:$G$167</definedName>
  </definedNames>
  <calcPr calcId="162913"/>
</workbook>
</file>

<file path=xl/calcChain.xml><?xml version="1.0" encoding="utf-8"?>
<calcChain xmlns="http://schemas.openxmlformats.org/spreadsheetml/2006/main">
  <c r="C1" i="11" l="1"/>
  <c r="O32" i="11" s="1"/>
  <c r="V32" i="11" s="1"/>
  <c r="I1" i="11"/>
  <c r="L28" i="11" s="1"/>
  <c r="O1" i="11"/>
  <c r="C2" i="11"/>
  <c r="R11" i="11" s="1"/>
  <c r="F2" i="11"/>
  <c r="S23" i="11"/>
  <c r="T23" i="11"/>
  <c r="U23" i="11"/>
  <c r="V23" i="11"/>
  <c r="P24" i="11"/>
  <c r="S24" i="11"/>
  <c r="T24" i="11"/>
  <c r="U24" i="11"/>
  <c r="V24" i="11"/>
  <c r="P25" i="11"/>
  <c r="S25" i="11"/>
  <c r="T25" i="11"/>
  <c r="U25" i="11"/>
  <c r="V25" i="11"/>
  <c r="P26" i="11"/>
  <c r="X26" i="11" s="1"/>
  <c r="S26" i="11"/>
  <c r="T26" i="11"/>
  <c r="U26" i="11"/>
  <c r="V26" i="11"/>
  <c r="P27" i="11"/>
  <c r="S27" i="11"/>
  <c r="X27" i="11" s="1"/>
  <c r="T27" i="11"/>
  <c r="U27" i="11"/>
  <c r="V27" i="11"/>
  <c r="O28" i="11"/>
  <c r="J29" i="11"/>
  <c r="P29" i="11"/>
  <c r="L30" i="11"/>
  <c r="O31" i="11"/>
  <c r="V31" i="11" s="1"/>
  <c r="J32" i="11"/>
  <c r="S32" i="11" s="1"/>
  <c r="K32" i="11"/>
  <c r="N32" i="11"/>
  <c r="P32" i="11"/>
  <c r="J33" i="11"/>
  <c r="U33" i="11" s="1"/>
  <c r="N33" i="11"/>
  <c r="O33" i="11"/>
  <c r="V33" i="11"/>
  <c r="P33" i="11"/>
  <c r="J34" i="11"/>
  <c r="S34" i="11"/>
  <c r="U34" i="11"/>
  <c r="K34" i="11"/>
  <c r="N34" i="11"/>
  <c r="P34" i="11"/>
  <c r="J35" i="11"/>
  <c r="N35" i="11"/>
  <c r="O35" i="11"/>
  <c r="V35" i="11"/>
  <c r="P35" i="11"/>
  <c r="S36" i="11"/>
  <c r="X36" i="11" s="1"/>
  <c r="T36" i="11"/>
  <c r="U36" i="11"/>
  <c r="V36" i="11"/>
  <c r="S37" i="11"/>
  <c r="T37" i="11"/>
  <c r="U37" i="11"/>
  <c r="V37" i="11"/>
  <c r="X37" i="11"/>
  <c r="S38" i="11"/>
  <c r="T38" i="11"/>
  <c r="U38" i="11"/>
  <c r="V38" i="11"/>
  <c r="X38" i="11"/>
  <c r="S39" i="11"/>
  <c r="T39" i="11"/>
  <c r="U39" i="11"/>
  <c r="V39" i="11"/>
  <c r="X39" i="11"/>
  <c r="M40" i="11"/>
  <c r="V41" i="11"/>
  <c r="X41" i="11"/>
  <c r="P42" i="11"/>
  <c r="V42" i="11"/>
  <c r="X42" i="11"/>
  <c r="V43" i="11"/>
  <c r="X43" i="11"/>
  <c r="V44" i="11"/>
  <c r="X44" i="11"/>
  <c r="V45" i="11"/>
  <c r="J46" i="11"/>
  <c r="K46" i="11"/>
  <c r="O46" i="11"/>
  <c r="A47" i="11"/>
  <c r="S50" i="11"/>
  <c r="T50" i="11"/>
  <c r="U50" i="11"/>
  <c r="W50" i="11"/>
  <c r="X50" i="11"/>
  <c r="J51" i="11"/>
  <c r="S56" i="11"/>
  <c r="T56" i="11"/>
  <c r="U56" i="11"/>
  <c r="U63" i="11" s="1"/>
  <c r="V56" i="11"/>
  <c r="S57" i="11"/>
  <c r="T57" i="11"/>
  <c r="X57" i="11" s="1"/>
  <c r="U57" i="11"/>
  <c r="V57" i="11"/>
  <c r="S58" i="11"/>
  <c r="T58" i="11"/>
  <c r="U58" i="11"/>
  <c r="V58" i="11"/>
  <c r="P59" i="11"/>
  <c r="X59" i="11" s="1"/>
  <c r="S59" i="11"/>
  <c r="T59" i="11"/>
  <c r="U59" i="11"/>
  <c r="V59" i="11"/>
  <c r="S60" i="11"/>
  <c r="X60" i="11" s="1"/>
  <c r="T60" i="11"/>
  <c r="U60" i="11"/>
  <c r="V60" i="11"/>
  <c r="S61" i="11"/>
  <c r="T61" i="11"/>
  <c r="U61" i="11"/>
  <c r="V61" i="11"/>
  <c r="X61" i="11"/>
  <c r="S62" i="11"/>
  <c r="T62" i="11"/>
  <c r="U62" i="11"/>
  <c r="V62" i="11"/>
  <c r="X62" i="11"/>
  <c r="J63" i="11"/>
  <c r="A53" i="11"/>
  <c r="K63" i="11"/>
  <c r="L63" i="11"/>
  <c r="M63" i="11"/>
  <c r="N63" i="11"/>
  <c r="O63" i="11"/>
  <c r="V64" i="11"/>
  <c r="X64" i="11"/>
  <c r="V65" i="11"/>
  <c r="X65" i="11"/>
  <c r="V66" i="11"/>
  <c r="X66" i="11"/>
  <c r="V67" i="11"/>
  <c r="X67" i="11"/>
  <c r="J68" i="11"/>
  <c r="K68" i="11"/>
  <c r="O68" i="11"/>
  <c r="A69" i="11"/>
  <c r="S72" i="11"/>
  <c r="T72" i="11"/>
  <c r="U72" i="11"/>
  <c r="W72" i="11"/>
  <c r="S73" i="11"/>
  <c r="T73" i="11"/>
  <c r="U73" i="11"/>
  <c r="W73" i="11"/>
  <c r="X73" i="11"/>
  <c r="S74" i="11"/>
  <c r="T74" i="11"/>
  <c r="U74" i="11"/>
  <c r="W74" i="11"/>
  <c r="X74" i="11"/>
  <c r="S75" i="11"/>
  <c r="T75" i="11"/>
  <c r="U75" i="11"/>
  <c r="W75" i="11"/>
  <c r="X75" i="11"/>
  <c r="S76" i="11"/>
  <c r="T76" i="11"/>
  <c r="U76" i="11"/>
  <c r="W76" i="11"/>
  <c r="X76" i="11"/>
  <c r="S77" i="11"/>
  <c r="T77" i="11"/>
  <c r="U77" i="11"/>
  <c r="W77" i="11"/>
  <c r="X77" i="11"/>
  <c r="O78" i="11"/>
  <c r="X78" i="11"/>
  <c r="S83" i="11"/>
  <c r="X83" i="11" s="1"/>
  <c r="T83" i="11"/>
  <c r="U83" i="11"/>
  <c r="V83" i="11"/>
  <c r="S84" i="11"/>
  <c r="T84" i="11"/>
  <c r="U84" i="11"/>
  <c r="V84" i="11"/>
  <c r="S85" i="11"/>
  <c r="T85" i="11"/>
  <c r="U85" i="11"/>
  <c r="X85" i="11" s="1"/>
  <c r="V85" i="11"/>
  <c r="S86" i="11"/>
  <c r="T86" i="11"/>
  <c r="U86" i="11"/>
  <c r="V86" i="11"/>
  <c r="S87" i="11"/>
  <c r="T87" i="11"/>
  <c r="X87" i="11" s="1"/>
  <c r="U87" i="11"/>
  <c r="V87" i="11"/>
  <c r="S88" i="11"/>
  <c r="X88" i="11" s="1"/>
  <c r="T88" i="11"/>
  <c r="U88" i="11"/>
  <c r="V88" i="11"/>
  <c r="S89" i="11"/>
  <c r="T89" i="11"/>
  <c r="U89" i="11"/>
  <c r="U97" i="11" s="1"/>
  <c r="V89" i="11"/>
  <c r="S90" i="11"/>
  <c r="T90" i="11"/>
  <c r="U90" i="11"/>
  <c r="X90" i="11" s="1"/>
  <c r="V90" i="11"/>
  <c r="S91" i="11"/>
  <c r="T91" i="11"/>
  <c r="U91" i="11"/>
  <c r="X91" i="11" s="1"/>
  <c r="V91" i="11"/>
  <c r="S92" i="11"/>
  <c r="T92" i="11"/>
  <c r="X92" i="11"/>
  <c r="U92" i="11"/>
  <c r="V92" i="11"/>
  <c r="S93" i="11"/>
  <c r="X93" i="11"/>
  <c r="T93" i="11"/>
  <c r="U93" i="11"/>
  <c r="V93" i="11"/>
  <c r="S94" i="11"/>
  <c r="X94" i="11" s="1"/>
  <c r="T94" i="11"/>
  <c r="U94" i="11"/>
  <c r="V94" i="11"/>
  <c r="S95" i="11"/>
  <c r="T95" i="11"/>
  <c r="U95" i="11"/>
  <c r="V95" i="11"/>
  <c r="X95" i="11"/>
  <c r="S96" i="11"/>
  <c r="T96" i="11"/>
  <c r="U96" i="11"/>
  <c r="V96" i="11"/>
  <c r="X96" i="11"/>
  <c r="J97" i="11"/>
  <c r="K97" i="11"/>
  <c r="L97" i="11"/>
  <c r="M97" i="11"/>
  <c r="N97" i="11"/>
  <c r="O97" i="11"/>
  <c r="V98" i="11"/>
  <c r="X98" i="11"/>
  <c r="V99" i="11"/>
  <c r="X99" i="11"/>
  <c r="V100" i="11"/>
  <c r="X100" i="11"/>
  <c r="V101" i="11"/>
  <c r="X101" i="11"/>
  <c r="V102" i="11"/>
  <c r="X102" i="11"/>
  <c r="J103" i="11"/>
  <c r="K103" i="11"/>
  <c r="O103" i="11"/>
  <c r="A104" i="11"/>
  <c r="S107" i="11"/>
  <c r="T107" i="11"/>
  <c r="U107" i="11"/>
  <c r="V107" i="11"/>
  <c r="S108" i="11"/>
  <c r="T108" i="11"/>
  <c r="U108" i="11"/>
  <c r="V108" i="11"/>
  <c r="S109" i="11"/>
  <c r="T109" i="11"/>
  <c r="U109" i="11"/>
  <c r="W109" i="11"/>
  <c r="X109" i="11"/>
  <c r="S110" i="11"/>
  <c r="T110" i="11"/>
  <c r="U110" i="11"/>
  <c r="W110" i="11"/>
  <c r="X110" i="11"/>
  <c r="S111" i="11"/>
  <c r="T111" i="11"/>
  <c r="U111" i="11"/>
  <c r="X111" i="11"/>
  <c r="S112" i="11"/>
  <c r="T112" i="11"/>
  <c r="U112" i="11"/>
  <c r="W112" i="11"/>
  <c r="X112" i="11"/>
  <c r="S113" i="11"/>
  <c r="T113" i="11"/>
  <c r="U113" i="11"/>
  <c r="W113" i="11"/>
  <c r="X113" i="11"/>
  <c r="S114" i="11"/>
  <c r="T114" i="11"/>
  <c r="U114" i="11"/>
  <c r="W114" i="11"/>
  <c r="X114" i="11"/>
  <c r="S115" i="11"/>
  <c r="T115" i="11"/>
  <c r="U115" i="11"/>
  <c r="X115" i="11"/>
  <c r="S116" i="11"/>
  <c r="T116" i="11"/>
  <c r="U116" i="11"/>
  <c r="W116" i="11"/>
  <c r="X116" i="11"/>
  <c r="O117" i="11"/>
  <c r="X117" i="11"/>
  <c r="S122" i="11"/>
  <c r="T122" i="11"/>
  <c r="U122" i="11"/>
  <c r="V122" i="11"/>
  <c r="S123" i="11"/>
  <c r="T123" i="11"/>
  <c r="U123" i="11"/>
  <c r="X123" i="11" s="1"/>
  <c r="V123" i="11"/>
  <c r="S124" i="11"/>
  <c r="T124" i="11"/>
  <c r="T129" i="11" s="1"/>
  <c r="U124" i="11"/>
  <c r="V124" i="11"/>
  <c r="S125" i="11"/>
  <c r="T125" i="11"/>
  <c r="X125" i="11"/>
  <c r="U125" i="11"/>
  <c r="V125" i="11"/>
  <c r="S126" i="11"/>
  <c r="T126" i="11"/>
  <c r="U126" i="11"/>
  <c r="X126" i="11"/>
  <c r="S127" i="11"/>
  <c r="T127" i="11"/>
  <c r="U127" i="11"/>
  <c r="X127" i="11"/>
  <c r="S128" i="11"/>
  <c r="T128" i="11"/>
  <c r="U128" i="11"/>
  <c r="V128" i="11"/>
  <c r="X128" i="11"/>
  <c r="J129" i="11"/>
  <c r="K129" i="11"/>
  <c r="L129" i="11"/>
  <c r="M129" i="11"/>
  <c r="N129" i="11"/>
  <c r="O129" i="11"/>
  <c r="V130" i="11"/>
  <c r="X130" i="11"/>
  <c r="V131" i="11"/>
  <c r="X131" i="11"/>
  <c r="V132" i="11"/>
  <c r="X132" i="11"/>
  <c r="V133" i="11"/>
  <c r="X133" i="11"/>
  <c r="V134" i="11"/>
  <c r="X134" i="11"/>
  <c r="V135" i="11"/>
  <c r="X135" i="11"/>
  <c r="V136" i="11"/>
  <c r="X136" i="11"/>
  <c r="J137" i="11"/>
  <c r="K137" i="11"/>
  <c r="O137" i="11"/>
  <c r="O163" i="11" s="1"/>
  <c r="A138" i="11"/>
  <c r="S141" i="11"/>
  <c r="T141" i="11"/>
  <c r="U141" i="11"/>
  <c r="X141" i="11"/>
  <c r="S142" i="11"/>
  <c r="T142" i="11"/>
  <c r="U142" i="11"/>
  <c r="X142" i="11"/>
  <c r="S143" i="11"/>
  <c r="T143" i="11"/>
  <c r="U143" i="11"/>
  <c r="X143" i="11"/>
  <c r="S144" i="11"/>
  <c r="T144" i="11"/>
  <c r="U144" i="11"/>
  <c r="W144" i="11"/>
  <c r="X144" i="11"/>
  <c r="S145" i="11"/>
  <c r="T145" i="11"/>
  <c r="U145" i="11"/>
  <c r="W145" i="11"/>
  <c r="X145" i="11"/>
  <c r="S146" i="11"/>
  <c r="T146" i="11"/>
  <c r="U146" i="11"/>
  <c r="W146" i="11"/>
  <c r="X146" i="11"/>
  <c r="S147" i="11"/>
  <c r="T147" i="11"/>
  <c r="U147" i="11"/>
  <c r="W147" i="11"/>
  <c r="X147" i="11"/>
  <c r="S148" i="11"/>
  <c r="T148" i="11"/>
  <c r="U148" i="11"/>
  <c r="W148" i="11"/>
  <c r="X148" i="11"/>
  <c r="S149" i="11"/>
  <c r="T149" i="11"/>
  <c r="U149" i="11"/>
  <c r="W149" i="11"/>
  <c r="X149" i="11"/>
  <c r="S150" i="11"/>
  <c r="T150" i="11"/>
  <c r="U150" i="11"/>
  <c r="W150" i="11"/>
  <c r="X150" i="11"/>
  <c r="S151" i="11"/>
  <c r="T151" i="11"/>
  <c r="U151" i="11"/>
  <c r="W151" i="11"/>
  <c r="X151" i="11"/>
  <c r="S152" i="11"/>
  <c r="T152" i="11"/>
  <c r="U152" i="11"/>
  <c r="W152" i="11"/>
  <c r="X152" i="11"/>
  <c r="S153" i="11"/>
  <c r="T153" i="11"/>
  <c r="U153" i="11"/>
  <c r="W153" i="11"/>
  <c r="X153" i="11"/>
  <c r="S154" i="11"/>
  <c r="T154" i="11"/>
  <c r="U154" i="11"/>
  <c r="W154" i="11"/>
  <c r="X154" i="11"/>
  <c r="S155" i="11"/>
  <c r="T155" i="11"/>
  <c r="U155" i="11"/>
  <c r="W155" i="11"/>
  <c r="X155" i="11"/>
  <c r="S156" i="11"/>
  <c r="T156" i="11"/>
  <c r="U156" i="11"/>
  <c r="W156" i="11"/>
  <c r="X156" i="11"/>
  <c r="S157" i="11"/>
  <c r="T157" i="11"/>
  <c r="U157" i="11"/>
  <c r="W157" i="11"/>
  <c r="X157" i="11"/>
  <c r="S158" i="11"/>
  <c r="T158" i="11"/>
  <c r="U158" i="11"/>
  <c r="W158" i="11"/>
  <c r="X158" i="11"/>
  <c r="S159" i="11"/>
  <c r="T159" i="11"/>
  <c r="U159" i="11"/>
  <c r="W159" i="11"/>
  <c r="X159" i="11"/>
  <c r="S160" i="11"/>
  <c r="T160" i="11"/>
  <c r="U160" i="11"/>
  <c r="W160" i="11"/>
  <c r="X160" i="11"/>
  <c r="S161" i="11"/>
  <c r="T161" i="11"/>
  <c r="U161" i="11"/>
  <c r="W161" i="11"/>
  <c r="X161" i="11"/>
  <c r="S162" i="11"/>
  <c r="T162" i="11"/>
  <c r="U162" i="11"/>
  <c r="W162" i="11"/>
  <c r="X162" i="11"/>
  <c r="X163" i="11"/>
  <c r="W164" i="11"/>
  <c r="X164" i="11"/>
  <c r="W165" i="11"/>
  <c r="X165" i="11"/>
  <c r="K166" i="11"/>
  <c r="O166" i="11"/>
  <c r="X166" i="11"/>
  <c r="F170" i="11"/>
  <c r="L170" i="11"/>
  <c r="F171" i="11"/>
  <c r="L171" i="11"/>
  <c r="L180" i="11" s="1"/>
  <c r="F172" i="11"/>
  <c r="L172" i="11"/>
  <c r="F173" i="11"/>
  <c r="L173" i="11"/>
  <c r="F174" i="11"/>
  <c r="L174" i="11"/>
  <c r="F175" i="11"/>
  <c r="L175" i="11"/>
  <c r="F176" i="11"/>
  <c r="L176" i="11"/>
  <c r="F177" i="11"/>
  <c r="L177" i="11"/>
  <c r="F178" i="11"/>
  <c r="L178" i="11"/>
  <c r="F179" i="11"/>
  <c r="F180" i="11" s="1"/>
  <c r="L179" i="11"/>
  <c r="J184" i="11"/>
  <c r="R184" i="11"/>
  <c r="D185" i="11"/>
  <c r="H185" i="11" s="1"/>
  <c r="F185" i="11"/>
  <c r="J185" i="11"/>
  <c r="J188" i="11" s="1"/>
  <c r="R185" i="11"/>
  <c r="J186" i="11"/>
  <c r="R186" i="11"/>
  <c r="J187" i="11"/>
  <c r="R187" i="11"/>
  <c r="R188" i="11" s="1"/>
  <c r="T187" i="11"/>
  <c r="C1" i="20"/>
  <c r="L24" i="20"/>
  <c r="I1" i="20"/>
  <c r="O1" i="20"/>
  <c r="C2" i="20"/>
  <c r="A11" i="20"/>
  <c r="F2" i="20"/>
  <c r="L2" i="20"/>
  <c r="P23" i="20" s="1"/>
  <c r="R11" i="20"/>
  <c r="S23" i="20"/>
  <c r="T23" i="20"/>
  <c r="U23" i="20"/>
  <c r="V23" i="20"/>
  <c r="K24" i="20"/>
  <c r="N24" i="20"/>
  <c r="V24" i="20"/>
  <c r="J25" i="20"/>
  <c r="X25" i="20"/>
  <c r="N25" i="20"/>
  <c r="U25" i="20" s="1"/>
  <c r="V25" i="20"/>
  <c r="K26" i="20"/>
  <c r="N26" i="20"/>
  <c r="S26" i="20" s="1"/>
  <c r="V26" i="20"/>
  <c r="J27" i="20"/>
  <c r="N27" i="20"/>
  <c r="P27" i="20"/>
  <c r="J28" i="20"/>
  <c r="L28" i="20"/>
  <c r="P28" i="20"/>
  <c r="L29" i="20"/>
  <c r="N29" i="20"/>
  <c r="O29" i="20"/>
  <c r="V29" i="20"/>
  <c r="K30" i="20"/>
  <c r="O30" i="20"/>
  <c r="V30" i="20"/>
  <c r="K31" i="20"/>
  <c r="J32" i="20"/>
  <c r="P32" i="20"/>
  <c r="N33" i="20"/>
  <c r="O34" i="20"/>
  <c r="V34" i="20"/>
  <c r="J35" i="20"/>
  <c r="K35" i="20"/>
  <c r="P35" i="20"/>
  <c r="S36" i="20"/>
  <c r="T36" i="20"/>
  <c r="U36" i="20"/>
  <c r="V36" i="20"/>
  <c r="S37" i="20"/>
  <c r="T37" i="20"/>
  <c r="U37" i="20"/>
  <c r="V37" i="20"/>
  <c r="X37" i="20"/>
  <c r="S38" i="20"/>
  <c r="T38" i="20"/>
  <c r="U38" i="20"/>
  <c r="V38" i="20"/>
  <c r="X38" i="20"/>
  <c r="S39" i="20"/>
  <c r="T39" i="20"/>
  <c r="U39" i="20"/>
  <c r="V39" i="20"/>
  <c r="X39" i="20"/>
  <c r="M40" i="20"/>
  <c r="V41" i="20"/>
  <c r="X41" i="20"/>
  <c r="V42" i="20"/>
  <c r="V43" i="20"/>
  <c r="X43" i="20"/>
  <c r="V44" i="20"/>
  <c r="X44" i="20"/>
  <c r="V45" i="20"/>
  <c r="X45" i="20"/>
  <c r="O46" i="20"/>
  <c r="A47" i="20"/>
  <c r="S50" i="20"/>
  <c r="T50" i="20"/>
  <c r="U50" i="20"/>
  <c r="V50" i="20"/>
  <c r="X50" i="20"/>
  <c r="J51" i="20"/>
  <c r="S56" i="20"/>
  <c r="T56" i="20"/>
  <c r="T64" i="20" s="1"/>
  <c r="U56" i="20"/>
  <c r="V56" i="20"/>
  <c r="S57" i="20"/>
  <c r="S64" i="20" s="1"/>
  <c r="T57" i="20"/>
  <c r="U57" i="20"/>
  <c r="V57" i="20"/>
  <c r="S58" i="20"/>
  <c r="X58" i="20" s="1"/>
  <c r="T58" i="20"/>
  <c r="U58" i="20"/>
  <c r="V58" i="20"/>
  <c r="S59" i="20"/>
  <c r="X59" i="20" s="1"/>
  <c r="T59" i="20"/>
  <c r="U59" i="20"/>
  <c r="V59" i="20"/>
  <c r="S60" i="20"/>
  <c r="T60" i="20"/>
  <c r="U60" i="20"/>
  <c r="V60" i="20"/>
  <c r="S61" i="20"/>
  <c r="T61" i="20"/>
  <c r="X61" i="20"/>
  <c r="U61" i="20"/>
  <c r="V61" i="20"/>
  <c r="S62" i="20"/>
  <c r="T62" i="20"/>
  <c r="U62" i="20"/>
  <c r="V62" i="20"/>
  <c r="X62" i="20"/>
  <c r="S63" i="20"/>
  <c r="T63" i="20"/>
  <c r="U63" i="20"/>
  <c r="V63" i="20"/>
  <c r="X63" i="20"/>
  <c r="J64" i="20"/>
  <c r="K64" i="20"/>
  <c r="L64" i="20"/>
  <c r="M64" i="20"/>
  <c r="N64" i="20"/>
  <c r="O64" i="20"/>
  <c r="V65" i="20"/>
  <c r="X65" i="20"/>
  <c r="V66" i="20"/>
  <c r="X66" i="20"/>
  <c r="V67" i="20"/>
  <c r="X67" i="20"/>
  <c r="V68" i="20"/>
  <c r="X68" i="20"/>
  <c r="J69" i="20"/>
  <c r="A53" i="20" s="1"/>
  <c r="K69" i="20"/>
  <c r="O69" i="20"/>
  <c r="A70" i="20"/>
  <c r="S73" i="20"/>
  <c r="T73" i="20"/>
  <c r="U73" i="20"/>
  <c r="V73" i="20"/>
  <c r="S74" i="20"/>
  <c r="T74" i="20"/>
  <c r="U74" i="20"/>
  <c r="V74" i="20"/>
  <c r="X74" i="20"/>
  <c r="S75" i="20"/>
  <c r="T75" i="20"/>
  <c r="U75" i="20"/>
  <c r="V75" i="20"/>
  <c r="X75" i="20"/>
  <c r="S76" i="20"/>
  <c r="T76" i="20"/>
  <c r="U76" i="20"/>
  <c r="V76" i="20"/>
  <c r="X76" i="20"/>
  <c r="O77" i="20"/>
  <c r="X77" i="20"/>
  <c r="S82" i="20"/>
  <c r="T82" i="20"/>
  <c r="U82" i="20"/>
  <c r="U109" i="20" s="1"/>
  <c r="V82" i="20"/>
  <c r="S83" i="20"/>
  <c r="T83" i="20"/>
  <c r="U83" i="20"/>
  <c r="V83" i="20"/>
  <c r="S84" i="20"/>
  <c r="T84" i="20"/>
  <c r="X84" i="20"/>
  <c r="U84" i="20"/>
  <c r="V84" i="20"/>
  <c r="S85" i="20"/>
  <c r="T85" i="20"/>
  <c r="T109" i="20" s="1"/>
  <c r="N214" i="20" s="1"/>
  <c r="U85" i="20"/>
  <c r="V85" i="20"/>
  <c r="S86" i="20"/>
  <c r="X86" i="20" s="1"/>
  <c r="T86" i="20"/>
  <c r="U86" i="20"/>
  <c r="V86" i="20"/>
  <c r="S87" i="20"/>
  <c r="T87" i="20"/>
  <c r="X87" i="20" s="1"/>
  <c r="U87" i="20"/>
  <c r="V87" i="20"/>
  <c r="S88" i="20"/>
  <c r="T88" i="20"/>
  <c r="X88" i="20" s="1"/>
  <c r="U88" i="20"/>
  <c r="V88" i="20"/>
  <c r="S89" i="20"/>
  <c r="X89" i="20" s="1"/>
  <c r="T89" i="20"/>
  <c r="U89" i="20"/>
  <c r="V89" i="20"/>
  <c r="S90" i="20"/>
  <c r="X90" i="20" s="1"/>
  <c r="T90" i="20"/>
  <c r="U90" i="20"/>
  <c r="V90" i="20"/>
  <c r="S91" i="20"/>
  <c r="T91" i="20"/>
  <c r="U91" i="20"/>
  <c r="V91" i="20"/>
  <c r="S92" i="20"/>
  <c r="T92" i="20"/>
  <c r="X92" i="20"/>
  <c r="U92" i="20"/>
  <c r="V92" i="20"/>
  <c r="S93" i="20"/>
  <c r="T93" i="20"/>
  <c r="U93" i="20"/>
  <c r="V93" i="20"/>
  <c r="S94" i="20"/>
  <c r="T94" i="20"/>
  <c r="U94" i="20"/>
  <c r="V94" i="20"/>
  <c r="S95" i="20"/>
  <c r="T95" i="20"/>
  <c r="U95" i="20"/>
  <c r="V95" i="20"/>
  <c r="S96" i="20"/>
  <c r="T96" i="20"/>
  <c r="U96" i="20"/>
  <c r="X96" i="20" s="1"/>
  <c r="V96" i="20"/>
  <c r="S97" i="20"/>
  <c r="T97" i="20"/>
  <c r="X97" i="20"/>
  <c r="U97" i="20"/>
  <c r="V97" i="20"/>
  <c r="S98" i="20"/>
  <c r="X98" i="20" s="1"/>
  <c r="T98" i="20"/>
  <c r="U98" i="20"/>
  <c r="V98" i="20"/>
  <c r="S99" i="20"/>
  <c r="X99" i="20"/>
  <c r="T99" i="20"/>
  <c r="U99" i="20"/>
  <c r="V99" i="20"/>
  <c r="S100" i="20"/>
  <c r="X100" i="20" s="1"/>
  <c r="T100" i="20"/>
  <c r="U100" i="20"/>
  <c r="V100" i="20"/>
  <c r="S101" i="20"/>
  <c r="T101" i="20"/>
  <c r="U101" i="20"/>
  <c r="X101" i="20" s="1"/>
  <c r="V101" i="20"/>
  <c r="S102" i="20"/>
  <c r="T102" i="20"/>
  <c r="X102" i="20" s="1"/>
  <c r="U102" i="20"/>
  <c r="V102" i="20"/>
  <c r="S103" i="20"/>
  <c r="X103" i="20"/>
  <c r="T103" i="20"/>
  <c r="U103" i="20"/>
  <c r="V103" i="20"/>
  <c r="S104" i="20"/>
  <c r="T104" i="20"/>
  <c r="U104" i="20"/>
  <c r="V104" i="20"/>
  <c r="S105" i="20"/>
  <c r="T105" i="20"/>
  <c r="X105" i="20"/>
  <c r="U105" i="20"/>
  <c r="V105" i="20"/>
  <c r="S106" i="20"/>
  <c r="X106" i="20"/>
  <c r="T106" i="20"/>
  <c r="U106" i="20"/>
  <c r="V106" i="20"/>
  <c r="S107" i="20"/>
  <c r="X107" i="20" s="1"/>
  <c r="T107" i="20"/>
  <c r="U107" i="20"/>
  <c r="V107" i="20"/>
  <c r="S108" i="20"/>
  <c r="T108" i="20"/>
  <c r="U108" i="20"/>
  <c r="V108" i="20"/>
  <c r="J109" i="20"/>
  <c r="K109" i="20"/>
  <c r="L109" i="20"/>
  <c r="M109" i="20"/>
  <c r="N109" i="20"/>
  <c r="O109" i="20"/>
  <c r="V110" i="20"/>
  <c r="X110" i="20"/>
  <c r="V111" i="20"/>
  <c r="X111" i="20"/>
  <c r="V112" i="20"/>
  <c r="X112" i="20"/>
  <c r="V113" i="20"/>
  <c r="X113" i="20"/>
  <c r="J114" i="20"/>
  <c r="A78" i="20" s="1"/>
  <c r="K114" i="20"/>
  <c r="L114" i="20"/>
  <c r="M114" i="20"/>
  <c r="N114" i="20"/>
  <c r="O114" i="20"/>
  <c r="A115" i="20"/>
  <c r="S118" i="20"/>
  <c r="T118" i="20"/>
  <c r="U118" i="20"/>
  <c r="V118" i="20"/>
  <c r="X118" i="20"/>
  <c r="S119" i="20"/>
  <c r="T119" i="20"/>
  <c r="U119" i="20"/>
  <c r="V119" i="20"/>
  <c r="X119" i="20"/>
  <c r="S120" i="20"/>
  <c r="T120" i="20"/>
  <c r="U120" i="20"/>
  <c r="V120" i="20"/>
  <c r="X120" i="20"/>
  <c r="S121" i="20"/>
  <c r="T121" i="20"/>
  <c r="U121" i="20"/>
  <c r="V121" i="20"/>
  <c r="X121" i="20"/>
  <c r="O122" i="20"/>
  <c r="X122" i="20"/>
  <c r="S127" i="20"/>
  <c r="T127" i="20"/>
  <c r="U127" i="20"/>
  <c r="V127" i="20"/>
  <c r="S128" i="20"/>
  <c r="T128" i="20"/>
  <c r="U128" i="20"/>
  <c r="V128" i="20"/>
  <c r="S129" i="20"/>
  <c r="T129" i="20"/>
  <c r="U129" i="20"/>
  <c r="V129" i="20"/>
  <c r="S130" i="20"/>
  <c r="T130" i="20"/>
  <c r="U130" i="20"/>
  <c r="V130" i="20"/>
  <c r="S131" i="20"/>
  <c r="T131" i="20"/>
  <c r="U131" i="20"/>
  <c r="X131" i="20" s="1"/>
  <c r="V131" i="20"/>
  <c r="S132" i="20"/>
  <c r="T132" i="20"/>
  <c r="U132" i="20"/>
  <c r="X132" i="20" s="1"/>
  <c r="V132" i="20"/>
  <c r="S133" i="20"/>
  <c r="T133" i="20"/>
  <c r="U133" i="20"/>
  <c r="V133" i="20"/>
  <c r="S134" i="20"/>
  <c r="T134" i="20"/>
  <c r="X134" i="20" s="1"/>
  <c r="U134" i="20"/>
  <c r="V134" i="20"/>
  <c r="J135" i="20"/>
  <c r="A124" i="20" s="1"/>
  <c r="K135" i="20"/>
  <c r="L135" i="20"/>
  <c r="M135" i="20"/>
  <c r="N135" i="20"/>
  <c r="O135" i="20"/>
  <c r="V136" i="20"/>
  <c r="X136" i="20"/>
  <c r="V137" i="20"/>
  <c r="X137" i="20"/>
  <c r="V138" i="20"/>
  <c r="X138" i="20"/>
  <c r="V139" i="20"/>
  <c r="X139" i="20"/>
  <c r="V140" i="20"/>
  <c r="X140" i="20"/>
  <c r="V141" i="20"/>
  <c r="X141" i="20"/>
  <c r="V142" i="20"/>
  <c r="X142" i="20"/>
  <c r="V143" i="20"/>
  <c r="X143" i="20"/>
  <c r="J144" i="20"/>
  <c r="K144" i="20"/>
  <c r="L144" i="20"/>
  <c r="M144" i="20"/>
  <c r="N144" i="20"/>
  <c r="O144" i="20"/>
  <c r="A145" i="20"/>
  <c r="S148" i="20"/>
  <c r="T148" i="20"/>
  <c r="U148" i="20"/>
  <c r="V148" i="20"/>
  <c r="X148" i="20"/>
  <c r="S149" i="20"/>
  <c r="T149" i="20"/>
  <c r="U149" i="20"/>
  <c r="V149" i="20"/>
  <c r="X149" i="20"/>
  <c r="S150" i="20"/>
  <c r="T150" i="20"/>
  <c r="U150" i="20"/>
  <c r="V150" i="20"/>
  <c r="X150" i="20"/>
  <c r="S151" i="20"/>
  <c r="T151" i="20"/>
  <c r="U151" i="20"/>
  <c r="V151" i="20"/>
  <c r="X151" i="20"/>
  <c r="S152" i="20"/>
  <c r="T152" i="20"/>
  <c r="U152" i="20"/>
  <c r="V152" i="20"/>
  <c r="X152" i="20"/>
  <c r="S153" i="20"/>
  <c r="T153" i="20"/>
  <c r="U153" i="20"/>
  <c r="V153" i="20"/>
  <c r="X153" i="20"/>
  <c r="S154" i="20"/>
  <c r="T154" i="20"/>
  <c r="U154" i="20"/>
  <c r="V154" i="20"/>
  <c r="X154" i="20"/>
  <c r="S155" i="20"/>
  <c r="T155" i="20"/>
  <c r="U155" i="20"/>
  <c r="V155" i="20"/>
  <c r="X155" i="20"/>
  <c r="S156" i="20"/>
  <c r="T156" i="20"/>
  <c r="U156" i="20"/>
  <c r="V156" i="20"/>
  <c r="X156" i="20"/>
  <c r="S157" i="20"/>
  <c r="T157" i="20"/>
  <c r="U157" i="20"/>
  <c r="V157" i="20"/>
  <c r="X157" i="20"/>
  <c r="S158" i="20"/>
  <c r="T158" i="20"/>
  <c r="U158" i="20"/>
  <c r="V158" i="20"/>
  <c r="X158" i="20"/>
  <c r="O159" i="20"/>
  <c r="X159" i="20"/>
  <c r="S164" i="20"/>
  <c r="T164" i="20"/>
  <c r="U164" i="20"/>
  <c r="V164" i="20"/>
  <c r="S165" i="20"/>
  <c r="T165" i="20"/>
  <c r="U165" i="20"/>
  <c r="V165" i="20"/>
  <c r="S166" i="20"/>
  <c r="T166" i="20"/>
  <c r="X166" i="20"/>
  <c r="U166" i="20"/>
  <c r="V166" i="20"/>
  <c r="S167" i="20"/>
  <c r="X167" i="20"/>
  <c r="T167" i="20"/>
  <c r="U167" i="20"/>
  <c r="V167" i="20"/>
  <c r="S168" i="20"/>
  <c r="X168" i="20" s="1"/>
  <c r="T168" i="20"/>
  <c r="U168" i="20"/>
  <c r="V168" i="20"/>
  <c r="S169" i="20"/>
  <c r="X169" i="20" s="1"/>
  <c r="T169" i="20"/>
  <c r="U169" i="20"/>
  <c r="V169" i="20"/>
  <c r="S170" i="20"/>
  <c r="T170" i="20"/>
  <c r="X170" i="20" s="1"/>
  <c r="U170" i="20"/>
  <c r="V170" i="20"/>
  <c r="S171" i="20"/>
  <c r="X171" i="20"/>
  <c r="T171" i="20"/>
  <c r="U171" i="20"/>
  <c r="V171" i="20"/>
  <c r="J172" i="20"/>
  <c r="K172" i="20"/>
  <c r="L172" i="20"/>
  <c r="M172" i="20"/>
  <c r="N172" i="20"/>
  <c r="O172" i="20"/>
  <c r="V173" i="20"/>
  <c r="X173" i="20"/>
  <c r="V174" i="20"/>
  <c r="X174" i="20"/>
  <c r="V175" i="20"/>
  <c r="X175" i="20"/>
  <c r="V176" i="20"/>
  <c r="X176" i="20"/>
  <c r="J177" i="20"/>
  <c r="K177" i="20"/>
  <c r="L177" i="20"/>
  <c r="M177" i="20"/>
  <c r="N177" i="20"/>
  <c r="O177" i="20"/>
  <c r="A178" i="20"/>
  <c r="S181" i="20"/>
  <c r="T181" i="20"/>
  <c r="U181" i="20"/>
  <c r="W181" i="20"/>
  <c r="X181" i="20"/>
  <c r="S182" i="20"/>
  <c r="T182" i="20"/>
  <c r="U182" i="20"/>
  <c r="W182" i="20"/>
  <c r="X182" i="20"/>
  <c r="S183" i="20"/>
  <c r="T183" i="20"/>
  <c r="U183" i="20"/>
  <c r="W183" i="20"/>
  <c r="X183" i="20"/>
  <c r="S184" i="20"/>
  <c r="T184" i="20"/>
  <c r="U184" i="20"/>
  <c r="W184" i="20"/>
  <c r="X184" i="20"/>
  <c r="S185" i="20"/>
  <c r="T185" i="20"/>
  <c r="U185" i="20"/>
  <c r="W185" i="20"/>
  <c r="X185" i="20"/>
  <c r="S186" i="20"/>
  <c r="T186" i="20"/>
  <c r="U186" i="20"/>
  <c r="W186" i="20"/>
  <c r="X186" i="20"/>
  <c r="S187" i="20"/>
  <c r="T187" i="20"/>
  <c r="U187" i="20"/>
  <c r="W187" i="20"/>
  <c r="X187" i="20"/>
  <c r="S188" i="20"/>
  <c r="T188" i="20"/>
  <c r="U188" i="20"/>
  <c r="W188" i="20"/>
  <c r="X188" i="20"/>
  <c r="S189" i="20"/>
  <c r="T189" i="20"/>
  <c r="U189" i="20"/>
  <c r="W189" i="20"/>
  <c r="X189" i="20"/>
  <c r="O190" i="20"/>
  <c r="X190" i="20"/>
  <c r="W191" i="20"/>
  <c r="X191" i="20"/>
  <c r="W192" i="20"/>
  <c r="X192" i="20"/>
  <c r="W193" i="20"/>
  <c r="X193" i="20"/>
  <c r="K194" i="20"/>
  <c r="O194" i="20"/>
  <c r="X194" i="20"/>
  <c r="F198" i="20"/>
  <c r="F199" i="20"/>
  <c r="F200" i="20"/>
  <c r="F201" i="20"/>
  <c r="F208" i="20" s="1"/>
  <c r="F202" i="20"/>
  <c r="F203" i="20"/>
  <c r="F204" i="20"/>
  <c r="F205" i="20"/>
  <c r="F206" i="20"/>
  <c r="F207" i="20"/>
  <c r="J212" i="20"/>
  <c r="T212" i="20" s="1"/>
  <c r="R212" i="20"/>
  <c r="J213" i="20"/>
  <c r="R213" i="20"/>
  <c r="R217" i="20" s="1"/>
  <c r="J214" i="20"/>
  <c r="T214" i="20" s="1"/>
  <c r="R214" i="20"/>
  <c r="J215" i="20"/>
  <c r="R215" i="20"/>
  <c r="J216" i="20"/>
  <c r="R216" i="20"/>
  <c r="S28" i="20"/>
  <c r="X27" i="20"/>
  <c r="A3" i="20"/>
  <c r="J24" i="20"/>
  <c r="P24" i="20"/>
  <c r="L25" i="20"/>
  <c r="T25" i="20" s="1"/>
  <c r="J26" i="20"/>
  <c r="P26" i="20"/>
  <c r="L27" i="20"/>
  <c r="S27" i="20" s="1"/>
  <c r="O28" i="20"/>
  <c r="V28" i="20" s="1"/>
  <c r="K29" i="20"/>
  <c r="P29" i="20"/>
  <c r="L30" i="20"/>
  <c r="O31" i="20"/>
  <c r="V31" i="20" s="1"/>
  <c r="K32" i="20"/>
  <c r="O33" i="20"/>
  <c r="V33" i="20"/>
  <c r="K34" i="20"/>
  <c r="O35" i="20"/>
  <c r="V35" i="20"/>
  <c r="A52" i="11"/>
  <c r="K35" i="11"/>
  <c r="O34" i="11"/>
  <c r="V34" i="11"/>
  <c r="S33" i="11"/>
  <c r="K33" i="11"/>
  <c r="K31" i="11"/>
  <c r="O30" i="11"/>
  <c r="V30" i="11" s="1"/>
  <c r="X24" i="20"/>
  <c r="T24" i="20"/>
  <c r="U32" i="20"/>
  <c r="X34" i="11"/>
  <c r="P42" i="20"/>
  <c r="K42" i="20"/>
  <c r="K46" i="20" s="1"/>
  <c r="J42" i="20"/>
  <c r="J46" i="20" s="1"/>
  <c r="N35" i="20"/>
  <c r="P34" i="20"/>
  <c r="N34" i="20"/>
  <c r="J34" i="20"/>
  <c r="P33" i="20"/>
  <c r="K33" i="20"/>
  <c r="X33" i="20" s="1"/>
  <c r="J33" i="20"/>
  <c r="U33" i="20"/>
  <c r="O32" i="20"/>
  <c r="V32" i="20"/>
  <c r="N32" i="20"/>
  <c r="S32" i="20"/>
  <c r="P31" i="20"/>
  <c r="L31" i="20"/>
  <c r="S31" i="20" s="1"/>
  <c r="J31" i="20"/>
  <c r="P30" i="20"/>
  <c r="N30" i="20"/>
  <c r="J30" i="20"/>
  <c r="S30" i="20" s="1"/>
  <c r="J29" i="20"/>
  <c r="T29" i="20" s="1"/>
  <c r="K28" i="20"/>
  <c r="O27" i="20"/>
  <c r="V27" i="20"/>
  <c r="K27" i="20"/>
  <c r="K40" i="20"/>
  <c r="L26" i="20"/>
  <c r="P25" i="20"/>
  <c r="K25" i="20"/>
  <c r="T186" i="11"/>
  <c r="A118" i="11"/>
  <c r="X84" i="11"/>
  <c r="T34" i="11"/>
  <c r="U26" i="20"/>
  <c r="S29" i="20"/>
  <c r="X29" i="20" s="1"/>
  <c r="U29" i="20"/>
  <c r="U34" i="20"/>
  <c r="T32" i="20"/>
  <c r="S33" i="20"/>
  <c r="X32" i="20"/>
  <c r="S25" i="20"/>
  <c r="A52" i="20"/>
  <c r="F213" i="20"/>
  <c r="D213" i="20" s="1"/>
  <c r="L213" i="20" s="1"/>
  <c r="L204" i="20"/>
  <c r="T27" i="20"/>
  <c r="X164" i="20"/>
  <c r="S172" i="20"/>
  <c r="A123" i="20"/>
  <c r="S109" i="20"/>
  <c r="P128" i="20"/>
  <c r="X128" i="20" s="1"/>
  <c r="L207" i="20"/>
  <c r="T33" i="20"/>
  <c r="L202" i="20"/>
  <c r="L205" i="20"/>
  <c r="S135" i="20"/>
  <c r="X122" i="11"/>
  <c r="U172" i="20"/>
  <c r="X133" i="20"/>
  <c r="T184" i="11"/>
  <c r="D187" i="11"/>
  <c r="L187" i="11"/>
  <c r="F187" i="11"/>
  <c r="H187" i="11" s="1"/>
  <c r="A119" i="11"/>
  <c r="A79" i="11"/>
  <c r="F186" i="11"/>
  <c r="X86" i="11"/>
  <c r="T97" i="11"/>
  <c r="N186" i="11" s="1"/>
  <c r="S97" i="11"/>
  <c r="T33" i="11"/>
  <c r="X33" i="11"/>
  <c r="A3" i="11"/>
  <c r="A11" i="11"/>
  <c r="T63" i="11"/>
  <c r="N185" i="11"/>
  <c r="P185" i="11" s="1"/>
  <c r="H186" i="11" l="1"/>
  <c r="X109" i="20"/>
  <c r="H213" i="20"/>
  <c r="X97" i="11"/>
  <c r="U129" i="11"/>
  <c r="N187" i="11" s="1"/>
  <c r="P187" i="11" s="1"/>
  <c r="U32" i="11"/>
  <c r="X57" i="20"/>
  <c r="U31" i="20"/>
  <c r="C203" i="20"/>
  <c r="I203" i="20" s="1"/>
  <c r="P127" i="20"/>
  <c r="U35" i="20"/>
  <c r="S35" i="20"/>
  <c r="T185" i="11"/>
  <c r="T216" i="20"/>
  <c r="J217" i="20"/>
  <c r="S29" i="11"/>
  <c r="T188" i="11"/>
  <c r="L203" i="20"/>
  <c r="L200" i="20"/>
  <c r="L206" i="20"/>
  <c r="X42" i="20"/>
  <c r="T135" i="20"/>
  <c r="U135" i="20"/>
  <c r="X135" i="20" s="1"/>
  <c r="X85" i="20"/>
  <c r="X83" i="20"/>
  <c r="S129" i="11"/>
  <c r="X58" i="11"/>
  <c r="X25" i="11"/>
  <c r="T32" i="11"/>
  <c r="X32" i="11" s="1"/>
  <c r="L199" i="20"/>
  <c r="L201" i="20"/>
  <c r="U30" i="20"/>
  <c r="T34" i="20"/>
  <c r="X34" i="20" s="1"/>
  <c r="S34" i="20"/>
  <c r="N29" i="11"/>
  <c r="U24" i="20"/>
  <c r="J40" i="20"/>
  <c r="T215" i="20"/>
  <c r="P129" i="20"/>
  <c r="X129" i="20" s="1"/>
  <c r="X104" i="20"/>
  <c r="X82" i="20"/>
  <c r="U64" i="20"/>
  <c r="X64" i="20" s="1"/>
  <c r="X124" i="11"/>
  <c r="X108" i="11"/>
  <c r="X107" i="11"/>
  <c r="A80" i="11"/>
  <c r="D186" i="11"/>
  <c r="L186" i="11" s="1"/>
  <c r="S63" i="11"/>
  <c r="X63" i="11" s="1"/>
  <c r="L31" i="11"/>
  <c r="L40" i="11" s="1"/>
  <c r="O29" i="11"/>
  <c r="V29" i="11" s="1"/>
  <c r="A160" i="20"/>
  <c r="F216" i="20"/>
  <c r="T35" i="11"/>
  <c r="U35" i="11"/>
  <c r="O207" i="20"/>
  <c r="A79" i="20"/>
  <c r="F214" i="20"/>
  <c r="T28" i="20"/>
  <c r="U28" i="20"/>
  <c r="N40" i="20"/>
  <c r="X56" i="11"/>
  <c r="V28" i="11"/>
  <c r="O40" i="11"/>
  <c r="K28" i="11"/>
  <c r="L29" i="11"/>
  <c r="T29" i="11" s="1"/>
  <c r="P30" i="11"/>
  <c r="L2" i="11"/>
  <c r="P23" i="11" s="1"/>
  <c r="P28" i="11"/>
  <c r="K30" i="11"/>
  <c r="J31" i="11"/>
  <c r="P31" i="11"/>
  <c r="J30" i="11"/>
  <c r="O202" i="20"/>
  <c r="T172" i="20"/>
  <c r="O206" i="20"/>
  <c r="P130" i="20"/>
  <c r="X130" i="20" s="1"/>
  <c r="O198" i="20"/>
  <c r="O40" i="20"/>
  <c r="T213" i="20"/>
  <c r="X95" i="20"/>
  <c r="X36" i="20"/>
  <c r="S24" i="20"/>
  <c r="S40" i="20" s="1"/>
  <c r="X56" i="20"/>
  <c r="X35" i="20"/>
  <c r="L40" i="20"/>
  <c r="X23" i="20"/>
  <c r="F215" i="20"/>
  <c r="U27" i="20"/>
  <c r="L198" i="20"/>
  <c r="L208" i="20" s="1"/>
  <c r="T35" i="20"/>
  <c r="T30" i="20"/>
  <c r="X30" i="20" s="1"/>
  <c r="T31" i="20"/>
  <c r="X31" i="20" s="1"/>
  <c r="A161" i="20"/>
  <c r="S35" i="11"/>
  <c r="X35" i="11" s="1"/>
  <c r="X26" i="20"/>
  <c r="T26" i="20"/>
  <c r="T40" i="20" s="1"/>
  <c r="X165" i="20"/>
  <c r="X108" i="20"/>
  <c r="X94" i="20"/>
  <c r="X93" i="20"/>
  <c r="X91" i="20"/>
  <c r="X60" i="20"/>
  <c r="L185" i="11"/>
  <c r="X89" i="11"/>
  <c r="N30" i="11"/>
  <c r="K29" i="11"/>
  <c r="J28" i="11"/>
  <c r="X24" i="11"/>
  <c r="N216" i="20" l="1"/>
  <c r="P216" i="20" s="1"/>
  <c r="X172" i="20"/>
  <c r="O171" i="11"/>
  <c r="C172" i="11"/>
  <c r="I172" i="11" s="1"/>
  <c r="O176" i="11"/>
  <c r="O170" i="11"/>
  <c r="C171" i="11"/>
  <c r="I171" i="11" s="1"/>
  <c r="X23" i="11"/>
  <c r="C179" i="11"/>
  <c r="I179" i="11" s="1"/>
  <c r="C177" i="11"/>
  <c r="I177" i="11" s="1"/>
  <c r="C178" i="11"/>
  <c r="I178" i="11" s="1"/>
  <c r="C170" i="11"/>
  <c r="O175" i="11"/>
  <c r="O172" i="11"/>
  <c r="C175" i="11"/>
  <c r="I175" i="11" s="1"/>
  <c r="O173" i="11"/>
  <c r="O177" i="11"/>
  <c r="O179" i="11"/>
  <c r="C174" i="11"/>
  <c r="I174" i="11" s="1"/>
  <c r="O174" i="11"/>
  <c r="C173" i="11"/>
  <c r="I173" i="11" s="1"/>
  <c r="C176" i="11"/>
  <c r="I176" i="11" s="1"/>
  <c r="O178" i="11"/>
  <c r="C200" i="20"/>
  <c r="I200" i="20" s="1"/>
  <c r="C207" i="20"/>
  <c r="I207" i="20" s="1"/>
  <c r="T30" i="11"/>
  <c r="S30" i="11"/>
  <c r="X30" i="11" s="1"/>
  <c r="U30" i="11"/>
  <c r="K40" i="11"/>
  <c r="O201" i="20"/>
  <c r="X127" i="20"/>
  <c r="C198" i="20"/>
  <c r="C201" i="20"/>
  <c r="I201" i="20" s="1"/>
  <c r="C199" i="20"/>
  <c r="I199" i="20" s="1"/>
  <c r="C202" i="20"/>
  <c r="I202" i="20" s="1"/>
  <c r="O199" i="20"/>
  <c r="O208" i="20" s="1"/>
  <c r="P186" i="11"/>
  <c r="S31" i="11"/>
  <c r="X31" i="11" s="1"/>
  <c r="T31" i="11"/>
  <c r="U31" i="11"/>
  <c r="X28" i="20"/>
  <c r="C204" i="20"/>
  <c r="I204" i="20" s="1"/>
  <c r="H216" i="20"/>
  <c r="D216" i="20"/>
  <c r="L216" i="20" s="1"/>
  <c r="U40" i="20"/>
  <c r="N212" i="20" s="1"/>
  <c r="O203" i="20"/>
  <c r="T217" i="20"/>
  <c r="O205" i="20"/>
  <c r="N213" i="20"/>
  <c r="P213" i="20" s="1"/>
  <c r="A19" i="20"/>
  <c r="F212" i="20"/>
  <c r="A20" i="20"/>
  <c r="U28" i="11"/>
  <c r="U40" i="11" s="1"/>
  <c r="J40" i="11"/>
  <c r="T28" i="11"/>
  <c r="T40" i="11" s="1"/>
  <c r="S28" i="11"/>
  <c r="X28" i="11"/>
  <c r="H215" i="20"/>
  <c r="D215" i="20"/>
  <c r="L215" i="20" s="1"/>
  <c r="C206" i="20"/>
  <c r="I206" i="20" s="1"/>
  <c r="O200" i="20"/>
  <c r="D214" i="20"/>
  <c r="H214" i="20" s="1"/>
  <c r="N40" i="11"/>
  <c r="U29" i="11"/>
  <c r="X29" i="11" s="1"/>
  <c r="C205" i="20"/>
  <c r="I205" i="20" s="1"/>
  <c r="X129" i="11"/>
  <c r="N215" i="20"/>
  <c r="P215" i="20" s="1"/>
  <c r="O204" i="20"/>
  <c r="N217" i="20" l="1"/>
  <c r="A20" i="11"/>
  <c r="D184" i="11"/>
  <c r="F184" i="11"/>
  <c r="F188" i="11" s="1"/>
  <c r="A19" i="11"/>
  <c r="D212" i="20"/>
  <c r="F217" i="20"/>
  <c r="I198" i="20"/>
  <c r="I208" i="20" s="1"/>
  <c r="C208" i="20"/>
  <c r="S40" i="11"/>
  <c r="X40" i="11" s="1"/>
  <c r="X40" i="20"/>
  <c r="O180" i="11"/>
  <c r="I170" i="11"/>
  <c r="I180" i="11" s="1"/>
  <c r="C180" i="11"/>
  <c r="P214" i="20"/>
  <c r="L214" i="20"/>
  <c r="N184" i="11"/>
  <c r="N188" i="11" l="1"/>
  <c r="P184" i="11"/>
  <c r="D217" i="20"/>
  <c r="P217" i="20" s="1"/>
  <c r="P218" i="20" s="1"/>
  <c r="L212" i="20"/>
  <c r="H184" i="11"/>
  <c r="D188" i="11"/>
  <c r="H188" i="11" s="1"/>
  <c r="L184" i="11"/>
  <c r="H212" i="20"/>
  <c r="P212" i="20"/>
  <c r="H217" i="20"/>
  <c r="D189" i="11" l="1"/>
  <c r="A13" i="11"/>
  <c r="L188" i="11"/>
  <c r="A13" i="20"/>
  <c r="D218" i="20"/>
  <c r="L217" i="20"/>
  <c r="P188" i="11"/>
  <c r="P189" i="11" s="1"/>
</calcChain>
</file>

<file path=xl/comments1.xml><?xml version="1.0" encoding="utf-8"?>
<comments xmlns="http://schemas.openxmlformats.org/spreadsheetml/2006/main">
  <authors>
    <author>作者</author>
  </authors>
  <commentList>
    <comment ref="O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请在“使用说明”工作表的第33-133行号内查找“专业序号”填入！</t>
        </r>
        <r>
          <rPr>
            <sz val="9"/>
            <rFont val="宋体"/>
            <family val="3"/>
            <charset val="134"/>
          </rPr>
          <t xml:space="preserve"> </t>
        </r>
      </text>
    </comment>
    <comment ref="A3" authorId="0" shapeId="0">
      <text>
        <r>
          <rPr>
            <sz val="9"/>
            <rFont val="宋体"/>
            <family val="3"/>
            <charset val="134"/>
          </rPr>
          <t xml:space="preserve">    文档的白色部分将被打印输出。其余部分只起辅助作用。</t>
        </r>
      </text>
    </comment>
    <comment ref="A5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格式参照2013版培养方案和教育部颁布的2012版专业目录。</t>
        </r>
      </text>
    </comment>
    <comment ref="A7" authorId="0" shapeId="0">
      <text>
        <r>
          <rPr>
            <sz val="9"/>
            <rFont val="宋体"/>
            <family val="3"/>
            <charset val="134"/>
          </rPr>
          <t xml:space="preserve">   1.参照教育部新颁布的专业目录，依据专业认证标准和教育部各教学指导委员会制定的专业规范，结合行业、地区发展需求和专业特色，制定详尽的规格要求。规格要求应能支撑培养目标的达成，可测量、可评估。
    2.单元格编辑技巧：①</t>
        </r>
        <r>
          <rPr>
            <sz val="9"/>
            <color indexed="10"/>
            <rFont val="宋体"/>
            <family val="3"/>
            <charset val="134"/>
          </rPr>
          <t>首行缩进：</t>
        </r>
        <r>
          <rPr>
            <sz val="9"/>
            <rFont val="宋体"/>
            <family val="3"/>
            <charset val="134"/>
          </rPr>
          <t>采用插入空格的方法实现（即：将光标放在首行前面敲空格键）。
②</t>
        </r>
        <r>
          <rPr>
            <sz val="9"/>
            <color indexed="10"/>
            <rFont val="宋体"/>
            <family val="3"/>
            <charset val="134"/>
          </rPr>
          <t>单元格内文字分段</t>
        </r>
        <r>
          <rPr>
            <sz val="9"/>
            <rFont val="宋体"/>
            <family val="3"/>
            <charset val="134"/>
          </rPr>
          <t>：按Ait＋Enter组合键实现（即：将光标放在要分段文字处，按住Alt键,然后按一下Enter回车键）。</t>
        </r>
      </text>
    </comment>
    <comment ref="A9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请参照教育部颁布的2012版专业目录。</t>
        </r>
      </text>
    </comment>
    <comment ref="A11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本单元内容由系统自动生成无需填写！</t>
        </r>
      </text>
    </comment>
    <comment ref="A13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本单元内容由系统自动生成无需填写！</t>
        </r>
      </text>
    </comment>
    <comment ref="A15" authorId="0" shapeId="0">
      <text>
        <r>
          <rPr>
            <sz val="9"/>
            <rFont val="宋体"/>
            <family val="3"/>
            <charset val="134"/>
          </rPr>
          <t xml:space="preserve">    列出课程名称（代表该专业主要内容的课程，可参照教育部颁布的2012版专业目录）</t>
        </r>
      </text>
    </comment>
    <comment ref="A17" authorId="0" shapeId="0">
      <text>
        <r>
          <rPr>
            <sz val="9"/>
            <rFont val="宋体"/>
            <family val="3"/>
            <charset val="134"/>
          </rPr>
          <t xml:space="preserve">    列出课程名称（学位申请时有学分绩点要求的课程，一般为</t>
        </r>
        <r>
          <rPr>
            <sz val="9"/>
            <color indexed="10"/>
            <rFont val="宋体"/>
            <family val="3"/>
            <charset val="134"/>
          </rPr>
          <t>10－12</t>
        </r>
        <r>
          <rPr>
            <sz val="9"/>
            <rFont val="宋体"/>
            <family val="3"/>
            <charset val="134"/>
          </rPr>
          <t>门，注意课程开课学期的合理分布）</t>
        </r>
      </text>
    </comment>
    <comment ref="A1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课程设置各平台，红字部分被锁定，作者无法修改，相关专业相同课程的学分、学时、修读学期等信息不同处系统会自动修改！</t>
        </r>
      </text>
    </comment>
    <comment ref="R21" authorId="0" shapeId="0">
      <text>
        <r>
          <rPr>
            <sz val="9"/>
            <color indexed="10"/>
            <rFont val="宋体"/>
            <family val="3"/>
            <charset val="134"/>
          </rPr>
          <t xml:space="preserve">R </t>
        </r>
        <r>
          <rPr>
            <sz val="9"/>
            <rFont val="宋体"/>
            <family val="3"/>
            <charset val="134"/>
          </rPr>
          <t xml:space="preserve">列专为“选修课”模拟选课设置，是用户可以编辑区域，不在实际打印范围。
</t>
        </r>
        <r>
          <rPr>
            <sz val="9"/>
            <color indexed="10"/>
            <rFont val="宋体"/>
            <family val="3"/>
            <charset val="134"/>
          </rPr>
          <t xml:space="preserve">A-R </t>
        </r>
        <r>
          <rPr>
            <sz val="9"/>
            <rFont val="宋体"/>
            <family val="3"/>
            <charset val="134"/>
          </rPr>
          <t>列（设为“课程信息录入区”，简称：“录入区”）该区域</t>
        </r>
        <r>
          <rPr>
            <sz val="9"/>
            <color indexed="10"/>
            <rFont val="宋体"/>
            <family val="3"/>
            <charset val="134"/>
          </rPr>
          <t>除红字经外</t>
        </r>
        <r>
          <rPr>
            <sz val="9"/>
            <rFont val="宋体"/>
            <family val="3"/>
            <charset val="134"/>
          </rPr>
          <t xml:space="preserve">的信息均可修改和删除。
</t>
        </r>
        <r>
          <rPr>
            <sz val="9"/>
            <color indexed="10"/>
            <rFont val="宋体"/>
            <family val="3"/>
            <charset val="134"/>
          </rPr>
          <t xml:space="preserve">S-X </t>
        </r>
        <r>
          <rPr>
            <sz val="9"/>
            <rFont val="宋体"/>
            <family val="3"/>
            <charset val="134"/>
          </rPr>
          <t>列（设为“课程信息统计区”，简称：“统计区”）该区域单元格内预设了函数公式，请勿修改。</t>
        </r>
        <r>
          <rPr>
            <sz val="9"/>
            <color indexed="10"/>
            <rFont val="宋体"/>
            <family val="3"/>
            <charset val="134"/>
          </rPr>
          <t>如果插入空行，一定要将该区域的公式写入。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color indexed="10"/>
            <rFont val="宋体"/>
            <family val="3"/>
            <charset val="134"/>
          </rPr>
          <t>A-Q</t>
        </r>
        <r>
          <rPr>
            <sz val="9"/>
            <rFont val="宋体"/>
            <family val="3"/>
            <charset val="134"/>
          </rPr>
          <t xml:space="preserve"> 列是“人才培养方案”实际打印的范围。</t>
        </r>
      </text>
    </comment>
    <comment ref="K41" authorId="0" shapeId="0">
      <text>
        <r>
          <rPr>
            <sz val="9"/>
            <rFont val="宋体"/>
            <family val="3"/>
            <charset val="134"/>
          </rPr>
          <t xml:space="preserve">    学时单位为“</t>
        </r>
        <r>
          <rPr>
            <sz val="9"/>
            <color indexed="10"/>
            <rFont val="宋体"/>
            <family val="3"/>
            <charset val="134"/>
          </rPr>
          <t>周</t>
        </r>
        <r>
          <rPr>
            <sz val="9"/>
            <rFont val="宋体"/>
            <family val="3"/>
            <charset val="134"/>
          </rPr>
          <t>”</t>
        </r>
      </text>
    </comment>
    <comment ref="Q50" authorId="0" shapeId="0">
      <text>
        <r>
          <rPr>
            <b/>
            <sz val="9"/>
            <rFont val="宋体"/>
            <family val="3"/>
            <charset val="134"/>
          </rPr>
          <t xml:space="preserve">作者:
    </t>
        </r>
        <r>
          <rPr>
            <sz val="9"/>
            <color indexed="10"/>
            <rFont val="宋体"/>
            <family val="3"/>
            <charset val="134"/>
          </rPr>
          <t>该课程96学时由系统直接分摊在相关学期内。与其他模块计算形式不同。无需在“选修课模拟修读学期”栏填写学期！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R72" authorId="0" shapeId="0">
      <text>
        <r>
          <rPr>
            <b/>
            <sz val="9"/>
            <color indexed="10"/>
            <rFont val="宋体"/>
            <family val="3"/>
            <charset val="134"/>
          </rPr>
          <t>作者:</t>
        </r>
        <r>
          <rPr>
            <sz val="9"/>
            <color indexed="10"/>
            <rFont val="宋体"/>
            <family val="3"/>
            <charset val="134"/>
          </rPr>
          <t xml:space="preserve">
    在本列中只有填入修读学期的课程学分才被有效统计，本模块模拟修读学分之和与“小计”行中至少选修学分比较，相同时“校验提醒”单元格中提示“计划与实际选修学分一致！”。</t>
        </r>
      </text>
    </comment>
    <comment ref="C78" authorId="0" shapeId="0">
      <text>
        <r>
          <rPr>
            <b/>
            <sz val="9"/>
            <rFont val="宋体"/>
            <family val="3"/>
            <charset val="134"/>
          </rPr>
          <t xml:space="preserve">作者:
    </t>
        </r>
        <r>
          <rPr>
            <sz val="9"/>
            <color indexed="10"/>
            <rFont val="宋体"/>
            <family val="3"/>
            <charset val="134"/>
          </rPr>
          <t>在“公共选修课程目录”中选读。学生必须选修2学分艺术体育类课程。不得选修与本专业学科基础课程和专业课程相同或近似的课程。</t>
        </r>
      </text>
    </comment>
    <comment ref="J78" authorId="0" shapeId="0">
      <text>
        <r>
          <rPr>
            <b/>
            <sz val="9"/>
            <color indexed="10"/>
            <rFont val="宋体"/>
            <family val="3"/>
            <charset val="134"/>
          </rPr>
          <t>作者:</t>
        </r>
        <r>
          <rPr>
            <sz val="9"/>
            <color indexed="10"/>
            <rFont val="宋体"/>
            <family val="3"/>
            <charset val="134"/>
          </rPr>
          <t xml:space="preserve">
    本单元格学分由专业学院设定！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O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请在“使用说明”工作表的第33-133行号内查找“专业序号”填入！</t>
        </r>
      </text>
    </comment>
    <comment ref="A3" authorId="0" shapeId="0">
      <text>
        <r>
          <rPr>
            <sz val="9"/>
            <rFont val="宋体"/>
            <family val="3"/>
            <charset val="134"/>
          </rPr>
          <t xml:space="preserve">    文档的白色部分将被打印输出。其余部分只起辅助作用。</t>
        </r>
      </text>
    </comment>
    <comment ref="A5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格式参照2013版培养方案和教育部颁布的2012版专业目录。</t>
        </r>
      </text>
    </comment>
    <comment ref="A7" authorId="0" shapeId="0">
      <text>
        <r>
          <rPr>
            <sz val="9"/>
            <rFont val="宋体"/>
            <family val="3"/>
            <charset val="134"/>
          </rPr>
          <t xml:space="preserve">   1.参照教育部新颁布的专业目录，依据专业认证标准和教育部各教学指导委员会制定的专业规范，结合行业、地区发展需求和专业特色，制定详尽的规格要求。规格要求应能支撑培养目标的达成，可测量、可评估。
    2.单元格编辑技巧：①</t>
        </r>
        <r>
          <rPr>
            <sz val="9"/>
            <color indexed="10"/>
            <rFont val="宋体"/>
            <family val="3"/>
            <charset val="134"/>
          </rPr>
          <t>首行缩进：</t>
        </r>
        <r>
          <rPr>
            <sz val="9"/>
            <rFont val="宋体"/>
            <family val="3"/>
            <charset val="134"/>
          </rPr>
          <t>采用插入空格的方法实现（即：将光标放在首行前面敲空格键）。
②</t>
        </r>
        <r>
          <rPr>
            <sz val="9"/>
            <color indexed="10"/>
            <rFont val="宋体"/>
            <family val="3"/>
            <charset val="134"/>
          </rPr>
          <t>单元格内文字分段</t>
        </r>
        <r>
          <rPr>
            <sz val="9"/>
            <rFont val="宋体"/>
            <family val="3"/>
            <charset val="134"/>
          </rPr>
          <t>：按Ait＋Enter组合键实现（即：将光标放在要分段文字处，按住Alt键,然后按一下Enter回车键）。</t>
        </r>
      </text>
    </comment>
    <comment ref="A9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请参照教育部颁布的2012版专业目录。</t>
        </r>
      </text>
    </comment>
    <comment ref="A11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本单元内容由系统自动生成无需填写！</t>
        </r>
      </text>
    </comment>
    <comment ref="A13" authorId="0" shapeId="0">
      <text>
        <r>
          <rPr>
            <sz val="9"/>
            <color indexed="10"/>
            <rFont val="宋体"/>
            <family val="3"/>
            <charset val="134"/>
          </rPr>
          <t xml:space="preserve">    本单元内容由系统自动生成无需填写！</t>
        </r>
      </text>
    </comment>
    <comment ref="A15" authorId="0" shapeId="0">
      <text>
        <r>
          <rPr>
            <sz val="9"/>
            <rFont val="宋体"/>
            <family val="3"/>
            <charset val="134"/>
          </rPr>
          <t xml:space="preserve">    列出课程名称（代表该专业主要内容的课程，可参照教育部颁布的2012版专业目录）</t>
        </r>
      </text>
    </comment>
    <comment ref="A17" authorId="0" shapeId="0">
      <text>
        <r>
          <rPr>
            <sz val="9"/>
            <rFont val="宋体"/>
            <family val="3"/>
            <charset val="134"/>
          </rPr>
          <t xml:space="preserve">    列出课程名称（学位申请时有学分绩点要求的课程，一般为</t>
        </r>
        <r>
          <rPr>
            <sz val="9"/>
            <color indexed="10"/>
            <rFont val="宋体"/>
            <family val="3"/>
            <charset val="134"/>
          </rPr>
          <t>10－12</t>
        </r>
        <r>
          <rPr>
            <sz val="9"/>
            <rFont val="宋体"/>
            <family val="3"/>
            <charset val="134"/>
          </rPr>
          <t>门，注意课程开课学期的合理分布）</t>
        </r>
      </text>
    </comment>
    <comment ref="A1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课程设置各平台，红字部分被锁定，作者无法修改，相关专业相同课程的学分、学时、修读学期等信息不同处系统会自动修改！</t>
        </r>
      </text>
    </comment>
    <comment ref="R21" authorId="0" shapeId="0">
      <text>
        <r>
          <rPr>
            <sz val="9"/>
            <color indexed="10"/>
            <rFont val="宋体"/>
            <family val="3"/>
            <charset val="134"/>
          </rPr>
          <t xml:space="preserve">R </t>
        </r>
        <r>
          <rPr>
            <sz val="9"/>
            <rFont val="宋体"/>
            <family val="3"/>
            <charset val="134"/>
          </rPr>
          <t xml:space="preserve">列专为“选修课”模拟选课设置，是用户可以编辑区域，不在实际打印范围。
</t>
        </r>
        <r>
          <rPr>
            <sz val="9"/>
            <color indexed="10"/>
            <rFont val="宋体"/>
            <family val="3"/>
            <charset val="134"/>
          </rPr>
          <t xml:space="preserve">A-R </t>
        </r>
        <r>
          <rPr>
            <sz val="9"/>
            <rFont val="宋体"/>
            <family val="3"/>
            <charset val="134"/>
          </rPr>
          <t>列（设为“课程信息录入区”，简称：“录入区”）该区域</t>
        </r>
        <r>
          <rPr>
            <sz val="9"/>
            <color indexed="10"/>
            <rFont val="宋体"/>
            <family val="3"/>
            <charset val="134"/>
          </rPr>
          <t>除红字经外</t>
        </r>
        <r>
          <rPr>
            <sz val="9"/>
            <rFont val="宋体"/>
            <family val="3"/>
            <charset val="134"/>
          </rPr>
          <t>的信息均可修改和删除。</t>
        </r>
        <r>
          <rPr>
            <sz val="9"/>
            <color indexed="10"/>
            <rFont val="宋体"/>
            <family val="3"/>
            <charset val="134"/>
          </rPr>
          <t xml:space="preserve">
S-X</t>
        </r>
        <r>
          <rPr>
            <sz val="9"/>
            <rFont val="宋体"/>
            <family val="3"/>
            <charset val="134"/>
          </rPr>
          <t xml:space="preserve"> 列（设为“课程信息统计区”，简称：“统计区”）该区域单元格内预设了函数公式，请勿修改。</t>
        </r>
        <r>
          <rPr>
            <sz val="9"/>
            <color indexed="10"/>
            <rFont val="宋体"/>
            <family val="3"/>
            <charset val="134"/>
          </rPr>
          <t>如果插入空行，一定要将该区域的公式写入。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color indexed="10"/>
            <rFont val="宋体"/>
            <family val="3"/>
            <charset val="134"/>
          </rPr>
          <t>A-Q</t>
        </r>
        <r>
          <rPr>
            <sz val="9"/>
            <rFont val="宋体"/>
            <family val="3"/>
            <charset val="134"/>
          </rPr>
          <t xml:space="preserve"> 列是“人才培养方案”实际打印的范围。</t>
        </r>
      </text>
    </comment>
    <comment ref="K41" authorId="0" shapeId="0">
      <text>
        <r>
          <rPr>
            <sz val="9"/>
            <rFont val="宋体"/>
            <family val="3"/>
            <charset val="134"/>
          </rPr>
          <t xml:space="preserve">    学时单位为“</t>
        </r>
        <r>
          <rPr>
            <sz val="9"/>
            <color indexed="10"/>
            <rFont val="宋体"/>
            <family val="3"/>
            <charset val="134"/>
          </rPr>
          <t>周</t>
        </r>
        <r>
          <rPr>
            <sz val="9"/>
            <rFont val="宋体"/>
            <family val="3"/>
            <charset val="134"/>
          </rPr>
          <t>”</t>
        </r>
      </text>
    </comment>
    <comment ref="Q50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该课程96学时由系统直接分摊在相关学期内。与其他模块计算形式不同。无需在“选修课模拟修读学期”栏填写学期！</t>
        </r>
      </text>
    </comment>
    <comment ref="R73" authorId="0" shapeId="0">
      <text>
        <r>
          <rPr>
            <b/>
            <sz val="9"/>
            <color indexed="10"/>
            <rFont val="宋体"/>
            <family val="3"/>
            <charset val="134"/>
          </rPr>
          <t>作者:</t>
        </r>
        <r>
          <rPr>
            <sz val="9"/>
            <color indexed="10"/>
            <rFont val="宋体"/>
            <family val="3"/>
            <charset val="134"/>
          </rPr>
          <t xml:space="preserve">
    在本列中只有填入修读学期的课程学分才被有效统计，本模块模拟修读学分之和与“小计”行中至少选修学分比较，相同时“校验提醒”单元格中提示“计划与实际选修学分一致！”。</t>
        </r>
      </text>
    </comment>
    <comment ref="C7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在“公共选修课程目录”中选读。学生必须选修2学分艺术体育类课程。不得选修与本专业学科基础课程和专业课程相同或近似的课程。</t>
        </r>
      </text>
    </comment>
    <comment ref="J7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   </t>
        </r>
        <r>
          <rPr>
            <sz val="9"/>
            <color indexed="10"/>
            <rFont val="宋体"/>
            <family val="3"/>
            <charset val="134"/>
          </rPr>
          <t>本单元格学分由专业学院设定！</t>
        </r>
      </text>
    </comment>
  </commentList>
</comments>
</file>

<file path=xl/sharedStrings.xml><?xml version="1.0" encoding="utf-8"?>
<sst xmlns="http://schemas.openxmlformats.org/spreadsheetml/2006/main" count="2618" uniqueCount="664">
  <si>
    <t>专业名称</t>
  </si>
  <si>
    <t>学院名称</t>
  </si>
  <si>
    <t>专业类别</t>
  </si>
  <si>
    <t>专业负责人姓名</t>
  </si>
  <si>
    <t>施佺</t>
  </si>
  <si>
    <t>电话</t>
  </si>
  <si>
    <t>学制年限</t>
  </si>
  <si>
    <t>学位</t>
  </si>
  <si>
    <t>形策开设学期</t>
  </si>
  <si>
    <t>专业序号</t>
  </si>
  <si>
    <t>096</t>
  </si>
  <si>
    <t>填表人姓名</t>
  </si>
  <si>
    <t>曹阳</t>
  </si>
  <si>
    <t>一、培养目标</t>
  </si>
  <si>
    <t xml:space="preserve">    本专业以交通运输工程为重点，系统工程、物流工程为延伸，掌握交通运输工程学科的基本原理和基本知识，具备客货运输、规划、设计、组织与管理等方面知识及相关开发能力，培养能在交通运输领域从事城市公交、运输企业管理、物流系统的规划设计与运输组织等工作，以及从事汽车技术服务、汽车营销及金融保险服务，或从事轨道交通运营管理、规划、设计等工作，能满足交通运输行业发展需求的高级工程技术与管理人才。</t>
  </si>
  <si>
    <t>二、规格要求</t>
  </si>
  <si>
    <t xml:space="preserve">    本专业的学生主要学习交通运输工程、管理科学与工程、系统工程等学科方面的基本理论和基本知识，接受运输线网和枢纽规划设计、客货运输组织与管理、汽车工程与管理或者轨道交通运输工程等方面的基本训练，具有运输系统规划、交通运输组织、交通运输经济、交通运输法规和载运工具运用等系统知识，并具备能运用所学知识解决工程实际问题的基本能力。
    毕业生应获得以下几方面的知识和能力：
1．学生德、智、体、美全面发展，知识面宽、能力强、素质高、有创新意识，具备较扎实的自然科学基础、人文社会科学基础和工程技术基础；
2．掌握从事道路运输组织与管理必需的相关数学、管理学和经济学等基础知识；
3．了解交通运输的发展历史及趋势，熟悉国家关于交通运输规划、建设与管理的方针、政策与法规；
4. 掌握道路运输企业生产经营业务管理、现代物流、交通运输信息、交通运输安全和运输工具运用的基本理论知识，掌握交通运营组织与管理、资源调度与优化等方面的理论知识和分析设计方法；
5. 掌握汽车检测诊断与维修、汽车技术服务、汽车市场营销，或轨道交通运营管理、线路规划与设计等基本理论和基本知识；
6．具有进行运输系统和相关产品的开发、设计、技术改造以及创新的能力，能够就复杂工程问题与业界同行及社会公众进行有效沟通和交流，包括撰写报告、设计文稿和陈述发言等。</t>
  </si>
  <si>
    <t>三、主干学科</t>
  </si>
  <si>
    <t xml:space="preserve">    交通运输工程、管理科学与工程、系统工程</t>
  </si>
  <si>
    <t>四、学制和学习年限</t>
  </si>
  <si>
    <t>五、学分与学位</t>
  </si>
  <si>
    <t>六、专业核心课程</t>
  </si>
  <si>
    <t xml:space="preserve">    运筹学、交通运输工程学、运输系统规划与设计、运输组织学、交通枢纽与场站、运输经济学、城市公共交通运营管理、汽车理论与运用工程（道路交通运输方向）、轨道交通运营管理（轨道交通运输方向）。</t>
  </si>
  <si>
    <t>七、学位课程</t>
  </si>
  <si>
    <t xml:space="preserve">    高等数学A、运筹学、工程力学、交通运输工程学、运输系统规划与设计、运输组织学、运输经济学、交通枢纽与场站、汽车理论与运用工程（道路交通运输方向）、轨道交通运营管理（轨道交通运输方向）。</t>
  </si>
  <si>
    <t xml:space="preserve">    </t>
  </si>
  <si>
    <t>八、课程设置</t>
  </si>
  <si>
    <t>课程代码</t>
  </si>
  <si>
    <t>课程名称</t>
  </si>
  <si>
    <t>学分</t>
  </si>
  <si>
    <t>学时分配</t>
  </si>
  <si>
    <t>考试课程</t>
  </si>
  <si>
    <t>建议修读学期</t>
  </si>
  <si>
    <t>备注</t>
  </si>
  <si>
    <t>选修课模拟修读学期</t>
  </si>
  <si>
    <t>讲授
学分</t>
  </si>
  <si>
    <t>实验
学分</t>
  </si>
  <si>
    <t>实践
学分</t>
  </si>
  <si>
    <t>必修课考试课</t>
  </si>
  <si>
    <t>选修课考试课</t>
  </si>
  <si>
    <t>校验提醒</t>
  </si>
  <si>
    <t>总学时</t>
  </si>
  <si>
    <t>讲授</t>
  </si>
  <si>
    <t>实验</t>
  </si>
  <si>
    <t>实践</t>
  </si>
  <si>
    <t xml:space="preserve">形势与政策
Situation and Policy </t>
  </si>
  <si>
    <t>思想道德修养与法律基础
Ideological and Moral Cultivation and Basic Law Education</t>
  </si>
  <si>
    <t>马克思主义基本原理概论
Introduction to the Principle of Marxism</t>
  </si>
  <si>
    <t>中国近现代史纲要
Outline of Modern Chinese History</t>
  </si>
  <si>
    <t>毛泽东思想和中国特色社会主义理论体系概论
Introduction to MAO Zedong Thought &amp; Theoretical System of Chinese Socialism</t>
  </si>
  <si>
    <t>√</t>
  </si>
  <si>
    <t>大学英语（一）
College English Ⅰ</t>
  </si>
  <si>
    <t>大学英语（二）
College English Ⅱ</t>
  </si>
  <si>
    <t>大学英语（三）
College English Ⅲ</t>
  </si>
  <si>
    <t>大学英语（四）
College English Ⅳ</t>
  </si>
  <si>
    <t>体育（一）
Physical Education Ⅰ</t>
  </si>
  <si>
    <t>体育（二）
Physical Education Ⅱ</t>
  </si>
  <si>
    <t>体育（三）
Physical Education Ⅲ</t>
  </si>
  <si>
    <t>体育（四）
Physical Education Ⅳ</t>
  </si>
  <si>
    <t>军事理论
Military Theory</t>
  </si>
  <si>
    <t>网络教学</t>
  </si>
  <si>
    <t>小计</t>
  </si>
  <si>
    <t>军事训练
Military Training</t>
  </si>
  <si>
    <t>毛泽东思想和中国特色社会主义理论体系概论社会实践
Practice of MAO Zedong Thought &amp; Theoretical System of Chinese Socialism Ⅰ</t>
  </si>
  <si>
    <t>暑期进行</t>
  </si>
  <si>
    <t>在“公共选修课程目录”中选读。学生必须选修2学分艺术体育类课程。不得选修与本专业学科基础课程和专业课程相同或近似的课程。</t>
  </si>
  <si>
    <t>1-8</t>
  </si>
  <si>
    <t>大学生心理素质教育
University Students Psychological Quality Education</t>
  </si>
  <si>
    <t>大学生职业发展与创新创业教育（一）
College Students' Career Development and Education on Innovation and Entrepreneurship Ⅰ</t>
  </si>
  <si>
    <t>大学生职业发展与创新创业教育（二）
College Students' Career Development and Education on Innovation and Entrepreneurship Ⅱ</t>
  </si>
  <si>
    <t>廉洁教育概论
Overview of Probity Education</t>
  </si>
  <si>
    <t>工程认识
Engineering Knowledge</t>
  </si>
  <si>
    <t>大学生创新创业教育实践
Practice for College Students' Innovation and Entrepreneurship Education</t>
  </si>
  <si>
    <t>课外实施</t>
  </si>
  <si>
    <t>“选修课”至少选修学分</t>
  </si>
  <si>
    <t>大学计算机信息技术基础（Ⅱ）
Fundamentals of Computer（Ⅱ）</t>
  </si>
  <si>
    <t xml:space="preserve">大学计算机信息技术基础（Ⅱ）
Fundamentals of Computer（Ⅱ）
</t>
  </si>
  <si>
    <t>高级语言程序设计VB
Advanced Language Programing Design VB</t>
  </si>
  <si>
    <r>
      <t>高级语言程序设计</t>
    </r>
    <r>
      <rPr>
        <sz val="9"/>
        <color indexed="8"/>
        <rFont val="Calibri"/>
        <family val="2"/>
      </rPr>
      <t>VB
Advanced Language Programing Design VB</t>
    </r>
  </si>
  <si>
    <t>高等数学A（一）
Advanced Mathematics A Ⅰ</t>
  </si>
  <si>
    <r>
      <t>高等数学</t>
    </r>
    <r>
      <rPr>
        <sz val="9"/>
        <color indexed="8"/>
        <rFont val="Calibri"/>
        <family val="2"/>
      </rPr>
      <t>A</t>
    </r>
    <r>
      <rPr>
        <sz val="9"/>
        <color indexed="8"/>
        <rFont val="宋体"/>
        <family val="3"/>
        <charset val="134"/>
      </rPr>
      <t>（一）</t>
    </r>
    <r>
      <rPr>
        <sz val="9"/>
        <color indexed="8"/>
        <rFont val="Calibri"/>
        <family val="2"/>
      </rPr>
      <t xml:space="preserve">
Advanced Mathematics A </t>
    </r>
    <r>
      <rPr>
        <sz val="9"/>
        <color indexed="8"/>
        <rFont val="宋体"/>
        <family val="3"/>
        <charset val="134"/>
      </rPr>
      <t>Ⅰ</t>
    </r>
  </si>
  <si>
    <t>高等数学A（二）
Advanced Mathematics A Ⅱ</t>
  </si>
  <si>
    <r>
      <t>高等数学</t>
    </r>
    <r>
      <rPr>
        <sz val="9"/>
        <color indexed="8"/>
        <rFont val="Calibri"/>
        <family val="2"/>
      </rPr>
      <t>A</t>
    </r>
    <r>
      <rPr>
        <sz val="9"/>
        <color indexed="8"/>
        <rFont val="宋体"/>
        <family val="3"/>
        <charset val="134"/>
      </rPr>
      <t>（二）</t>
    </r>
    <r>
      <rPr>
        <sz val="9"/>
        <color indexed="8"/>
        <rFont val="Calibri"/>
        <family val="2"/>
      </rPr>
      <t xml:space="preserve">
Advanced Mathematics A </t>
    </r>
    <r>
      <rPr>
        <sz val="9"/>
        <color indexed="8"/>
        <rFont val="宋体"/>
        <family val="3"/>
        <charset val="134"/>
      </rPr>
      <t>Ⅱ</t>
    </r>
  </si>
  <si>
    <t>工程制图及CAD
Engineering Drawing and CAD</t>
  </si>
  <si>
    <r>
      <t>高等数学</t>
    </r>
    <r>
      <rPr>
        <sz val="9"/>
        <color indexed="8"/>
        <rFont val="Calibri"/>
        <family val="2"/>
      </rPr>
      <t>B</t>
    </r>
    <r>
      <rPr>
        <sz val="9"/>
        <color indexed="8"/>
        <rFont val="宋体"/>
        <family val="3"/>
        <charset val="134"/>
      </rPr>
      <t>（一）</t>
    </r>
    <r>
      <rPr>
        <sz val="9"/>
        <color indexed="8"/>
        <rFont val="Calibri"/>
        <family val="2"/>
      </rPr>
      <t xml:space="preserve">
Advanced Mathematics B </t>
    </r>
    <r>
      <rPr>
        <sz val="9"/>
        <color indexed="8"/>
        <rFont val="宋体"/>
        <family val="3"/>
        <charset val="134"/>
      </rPr>
      <t>Ⅰ</t>
    </r>
  </si>
  <si>
    <t>线性代数A
Linear Algebra A</t>
  </si>
  <si>
    <r>
      <t>线性代数</t>
    </r>
    <r>
      <rPr>
        <sz val="9"/>
        <color indexed="8"/>
        <rFont val="Calibri"/>
        <family val="2"/>
      </rPr>
      <t>A
Linear Algebra A</t>
    </r>
  </si>
  <si>
    <t>概率论与数理统计
Probability Theory and Mathematical Statistics</t>
  </si>
  <si>
    <t>大学物理B（一）
College Physics B Ⅰ</t>
  </si>
  <si>
    <r>
      <t>大学物理</t>
    </r>
    <r>
      <rPr>
        <sz val="9"/>
        <color indexed="8"/>
        <rFont val="Calibri"/>
        <family val="2"/>
      </rPr>
      <t>B</t>
    </r>
    <r>
      <rPr>
        <sz val="9"/>
        <color indexed="8"/>
        <rFont val="宋体"/>
        <family val="3"/>
        <charset val="134"/>
      </rPr>
      <t>（一）</t>
    </r>
    <r>
      <rPr>
        <sz val="9"/>
        <color indexed="8"/>
        <rFont val="Calibri"/>
        <family val="2"/>
      </rPr>
      <t xml:space="preserve">
College Physics B </t>
    </r>
    <r>
      <rPr>
        <sz val="9"/>
        <color indexed="8"/>
        <rFont val="宋体"/>
        <family val="3"/>
        <charset val="134"/>
      </rPr>
      <t>Ⅰ</t>
    </r>
  </si>
  <si>
    <t>大学物理实验（一）
College Physics ExperimentⅠ</t>
  </si>
  <si>
    <t>计算机语言和算法实践
Computer Language &amp; Algorithmic  Practise</t>
  </si>
  <si>
    <t>计算机语言和算法实践
Computer Language &amp;Algorithmic  Practise</t>
  </si>
  <si>
    <t>认识实习
Practice of Recognition</t>
  </si>
  <si>
    <t>大学物理B（二）
College Physics B Ⅱ</t>
  </si>
  <si>
    <r>
      <t>大学物理</t>
    </r>
    <r>
      <rPr>
        <sz val="9"/>
        <color indexed="8"/>
        <rFont val="Calibri"/>
        <family val="2"/>
      </rPr>
      <t>B</t>
    </r>
    <r>
      <rPr>
        <sz val="9"/>
        <color indexed="8"/>
        <rFont val="宋体"/>
        <family val="3"/>
        <charset val="134"/>
      </rPr>
      <t>（二）</t>
    </r>
    <r>
      <rPr>
        <sz val="9"/>
        <color indexed="8"/>
        <rFont val="Calibri"/>
        <family val="2"/>
      </rPr>
      <t xml:space="preserve">
College Physics B </t>
    </r>
    <r>
      <rPr>
        <sz val="9"/>
        <color indexed="8"/>
        <rFont val="宋体"/>
        <family val="3"/>
        <charset val="134"/>
      </rPr>
      <t>Ⅱ</t>
    </r>
  </si>
  <si>
    <t>大学物理实验（二）
College Physics Experiment Ⅱ</t>
  </si>
  <si>
    <t>3</t>
  </si>
  <si>
    <t>6</t>
  </si>
  <si>
    <t xml:space="preserve">专业实习
Profession Practice </t>
  </si>
  <si>
    <t>毕业设计
Graduation Project</t>
  </si>
  <si>
    <t>4</t>
  </si>
  <si>
    <t>5</t>
  </si>
  <si>
    <t>7</t>
  </si>
  <si>
    <t>“选修课”非独立实践至少选修学分</t>
  </si>
  <si>
    <t>“选修课”独立实践至少选修学分</t>
  </si>
  <si>
    <t>九、学期学时测算表</t>
  </si>
  <si>
    <t>学期</t>
  </si>
  <si>
    <t>学时统计</t>
  </si>
  <si>
    <t>实践环节
周数小计</t>
  </si>
  <si>
    <t>考试门数
小计</t>
  </si>
  <si>
    <t>必修课</t>
  </si>
  <si>
    <t>选修课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</si>
  <si>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</si>
  <si>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</si>
  <si>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</si>
  <si>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</si>
  <si>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</si>
  <si>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</si>
  <si>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</si>
  <si>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</si>
  <si>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</si>
  <si>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</si>
  <si>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合计</t>
  </si>
  <si>
    <t>十、学分分配表</t>
  </si>
  <si>
    <t>类   别</t>
  </si>
  <si>
    <t>学分及其占比</t>
  </si>
  <si>
    <t>实际选修课学分提示！</t>
  </si>
  <si>
    <t>必修课程
学分</t>
  </si>
  <si>
    <t>占比</t>
  </si>
  <si>
    <t>选修课程
学分</t>
  </si>
  <si>
    <t>实验（实
践）学分</t>
  </si>
  <si>
    <t>计划选修
课程学分</t>
  </si>
  <si>
    <t>选修课程
学分完成情况</t>
  </si>
  <si>
    <t>通识教育课程</t>
  </si>
  <si>
    <t>综合素质培养课程</t>
  </si>
  <si>
    <t>学科基础课程</t>
  </si>
  <si>
    <t>专业教育课程</t>
  </si>
  <si>
    <r>
      <t>合</t>
    </r>
    <r>
      <rPr>
        <b/>
        <sz val="9"/>
        <color indexed="8"/>
        <rFont val="Calibri"/>
        <family val="2"/>
      </rPr>
      <t xml:space="preserve"> </t>
    </r>
    <r>
      <rPr>
        <b/>
        <sz val="9"/>
        <color indexed="8"/>
        <rFont val="宋体"/>
        <family val="3"/>
        <charset val="134"/>
      </rPr>
      <t>计</t>
    </r>
  </si>
  <si>
    <t>总学分提示！</t>
  </si>
  <si>
    <t>实验学分与总学分比例提示！</t>
  </si>
  <si>
    <t>四年制本科专业总学分控制在170学分</t>
  </si>
  <si>
    <t>五年制本科专业总学分控制在210学分</t>
  </si>
  <si>
    <t>人文社科类专业实践教学占总学分（学时）不低于20%</t>
  </si>
  <si>
    <t>理工农医类专业实践教学比例占总学分（学时）比例不低于25%</t>
  </si>
  <si>
    <t>专业代号</t>
  </si>
  <si>
    <t>学制</t>
  </si>
  <si>
    <r>
      <t>0</t>
    </r>
    <r>
      <rPr>
        <sz val="12"/>
        <rFont val="宋体"/>
        <family val="3"/>
        <charset val="134"/>
      </rPr>
      <t>01</t>
    </r>
  </si>
  <si>
    <t>汉语言文学</t>
  </si>
  <si>
    <t>文学院</t>
  </si>
  <si>
    <t>文科</t>
  </si>
  <si>
    <t>文学</t>
  </si>
  <si>
    <t>003</t>
  </si>
  <si>
    <t>秘书学</t>
  </si>
  <si>
    <t>004</t>
  </si>
  <si>
    <t>汉语国际教育</t>
  </si>
  <si>
    <t>006</t>
  </si>
  <si>
    <t>新闻学</t>
  </si>
  <si>
    <t>008</t>
  </si>
  <si>
    <t>信息与计算科学</t>
  </si>
  <si>
    <t>理学院</t>
  </si>
  <si>
    <t>理工科</t>
  </si>
  <si>
    <t>理学</t>
  </si>
  <si>
    <t>010</t>
  </si>
  <si>
    <t>应用统计学</t>
  </si>
  <si>
    <t>011</t>
  </si>
  <si>
    <t>应用物理学</t>
  </si>
  <si>
    <t>012</t>
  </si>
  <si>
    <t>光电信息科学与工程</t>
  </si>
  <si>
    <t>工学</t>
  </si>
  <si>
    <t>014</t>
  </si>
  <si>
    <t>社会工作</t>
  </si>
  <si>
    <t>管理学院</t>
  </si>
  <si>
    <t>法学</t>
  </si>
  <si>
    <t>015</t>
  </si>
  <si>
    <t>公共事业管理(医学法学)</t>
  </si>
  <si>
    <t>管理学（或医学）</t>
  </si>
  <si>
    <t>016</t>
  </si>
  <si>
    <t>行政管理</t>
  </si>
  <si>
    <t>管理学</t>
  </si>
  <si>
    <t>017</t>
  </si>
  <si>
    <t>公共事业管理</t>
  </si>
  <si>
    <t>018</t>
  </si>
  <si>
    <t>信息管理与信息系统</t>
  </si>
  <si>
    <t>019</t>
  </si>
  <si>
    <t>国际经济与贸易</t>
  </si>
  <si>
    <t>商学院</t>
  </si>
  <si>
    <t>经济学</t>
  </si>
  <si>
    <t>020</t>
  </si>
  <si>
    <t>工商管理</t>
  </si>
  <si>
    <t>021</t>
  </si>
  <si>
    <t>市场营销</t>
  </si>
  <si>
    <t>022</t>
  </si>
  <si>
    <t>人力资源管理</t>
  </si>
  <si>
    <t>023</t>
  </si>
  <si>
    <t>电子商务</t>
  </si>
  <si>
    <t>024</t>
  </si>
  <si>
    <t>会计学</t>
  </si>
  <si>
    <t>025</t>
  </si>
  <si>
    <t>物流管理</t>
  </si>
  <si>
    <t>026</t>
  </si>
  <si>
    <t>小学教育</t>
  </si>
  <si>
    <t>教育科学学院</t>
  </si>
  <si>
    <t>教育学</t>
  </si>
  <si>
    <t>027</t>
  </si>
  <si>
    <t>学前教育</t>
  </si>
  <si>
    <t>028</t>
  </si>
  <si>
    <t>应用心理学</t>
  </si>
  <si>
    <t>029</t>
  </si>
  <si>
    <t>教育技术学</t>
  </si>
  <si>
    <t>030</t>
  </si>
  <si>
    <t>英语</t>
  </si>
  <si>
    <t>外国语学院</t>
  </si>
  <si>
    <t>032</t>
  </si>
  <si>
    <t>商务英语</t>
  </si>
  <si>
    <t>033</t>
  </si>
  <si>
    <t>翻译</t>
  </si>
  <si>
    <t>034</t>
  </si>
  <si>
    <t>日语</t>
  </si>
  <si>
    <t>036</t>
  </si>
  <si>
    <t>应用化学</t>
  </si>
  <si>
    <t>化学化工学院</t>
  </si>
  <si>
    <t>037</t>
  </si>
  <si>
    <t>环境工程</t>
  </si>
  <si>
    <t>038</t>
  </si>
  <si>
    <t>化学工程与工艺</t>
  </si>
  <si>
    <t>039</t>
  </si>
  <si>
    <t>高分子材料与工程</t>
  </si>
  <si>
    <t>041</t>
  </si>
  <si>
    <t>生物技术</t>
  </si>
  <si>
    <t>生命科学学院</t>
  </si>
  <si>
    <t>042</t>
  </si>
  <si>
    <t>生物工程</t>
  </si>
  <si>
    <t>043</t>
  </si>
  <si>
    <t>海洋技术</t>
  </si>
  <si>
    <t>044</t>
  </si>
  <si>
    <t>机械电子工程</t>
  </si>
  <si>
    <t>机械工程学院</t>
  </si>
  <si>
    <t>045</t>
  </si>
  <si>
    <t>机械工程</t>
  </si>
  <si>
    <t>046</t>
  </si>
  <si>
    <t>测控技术与仪器</t>
  </si>
  <si>
    <t>047</t>
  </si>
  <si>
    <t>机械设计制造及其自动化</t>
  </si>
  <si>
    <t>048</t>
  </si>
  <si>
    <t>电子科学与技术</t>
  </si>
  <si>
    <t>电子信息学院</t>
  </si>
  <si>
    <t>049</t>
  </si>
  <si>
    <t>集成电路设计与集成系统</t>
  </si>
  <si>
    <t>050</t>
  </si>
  <si>
    <t>电子信息工程</t>
  </si>
  <si>
    <t>工学（或理学）</t>
  </si>
  <si>
    <t>051</t>
  </si>
  <si>
    <t>生物医学工程</t>
  </si>
  <si>
    <t>052</t>
  </si>
  <si>
    <t>通信工程</t>
  </si>
  <si>
    <t>053</t>
  </si>
  <si>
    <t>电气工程及其自动化</t>
  </si>
  <si>
    <t>电气工程学院</t>
  </si>
  <si>
    <t>054</t>
  </si>
  <si>
    <t>自动化</t>
  </si>
  <si>
    <t>055</t>
  </si>
  <si>
    <t>建筑电气与智能化</t>
  </si>
  <si>
    <t>056</t>
  </si>
  <si>
    <t>计算机科学与技术</t>
  </si>
  <si>
    <t>计算机科学与技术学院</t>
  </si>
  <si>
    <t>057</t>
  </si>
  <si>
    <t>计算机科学与技术（嵌入式培养）</t>
  </si>
  <si>
    <t>058</t>
  </si>
  <si>
    <t>软件工程</t>
  </si>
  <si>
    <t>059</t>
  </si>
  <si>
    <t>网络工程</t>
  </si>
  <si>
    <t>060</t>
  </si>
  <si>
    <t>物联网工程</t>
  </si>
  <si>
    <t>061</t>
  </si>
  <si>
    <t>土木工程</t>
  </si>
  <si>
    <t>建筑工程学院</t>
  </si>
  <si>
    <t>062</t>
  </si>
  <si>
    <t>工程管理</t>
  </si>
  <si>
    <t>063</t>
  </si>
  <si>
    <t>建筑学</t>
  </si>
  <si>
    <t>064</t>
  </si>
  <si>
    <t>纺织工程</t>
  </si>
  <si>
    <t>纺织服装学院</t>
  </si>
  <si>
    <t>065</t>
  </si>
  <si>
    <t>非织造材料与工程</t>
  </si>
  <si>
    <t>066</t>
  </si>
  <si>
    <t>服装设计与工程</t>
  </si>
  <si>
    <t>067</t>
  </si>
  <si>
    <t>服装与服饰设计</t>
  </si>
  <si>
    <t>艺术学</t>
  </si>
  <si>
    <t>068</t>
  </si>
  <si>
    <t>轻化工程</t>
  </si>
  <si>
    <t>069</t>
  </si>
  <si>
    <t>表演</t>
  </si>
  <si>
    <t>070</t>
  </si>
  <si>
    <t>临床医学</t>
  </si>
  <si>
    <t>医学院</t>
  </si>
  <si>
    <t>医科</t>
  </si>
  <si>
    <t>医学</t>
  </si>
  <si>
    <t>071</t>
  </si>
  <si>
    <t>康复治疗学</t>
  </si>
  <si>
    <t>072</t>
  </si>
  <si>
    <t>口腔医学</t>
  </si>
  <si>
    <t>073</t>
  </si>
  <si>
    <t>医学影像学</t>
  </si>
  <si>
    <t>074</t>
  </si>
  <si>
    <t>生物信息学</t>
  </si>
  <si>
    <t>075</t>
  </si>
  <si>
    <t>预防医学</t>
  </si>
  <si>
    <t>公共卫生学院</t>
  </si>
  <si>
    <t>076</t>
  </si>
  <si>
    <t>医学检验技术</t>
  </si>
  <si>
    <t>077</t>
  </si>
  <si>
    <t>护理学</t>
  </si>
  <si>
    <t>护理学院</t>
  </si>
  <si>
    <t>079</t>
  </si>
  <si>
    <t>社会体育指导与管理</t>
  </si>
  <si>
    <t>体育科学学院</t>
  </si>
  <si>
    <t>081</t>
  </si>
  <si>
    <t>美术学</t>
  </si>
  <si>
    <t>艺术学院</t>
  </si>
  <si>
    <t>082</t>
  </si>
  <si>
    <t>视觉传达设计</t>
  </si>
  <si>
    <t>083</t>
  </si>
  <si>
    <t>动画</t>
  </si>
  <si>
    <t>084</t>
  </si>
  <si>
    <t>环境设计</t>
  </si>
  <si>
    <t>085</t>
  </si>
  <si>
    <t>产品设计</t>
  </si>
  <si>
    <t>086</t>
  </si>
  <si>
    <t>工业设计</t>
  </si>
  <si>
    <t>087</t>
  </si>
  <si>
    <t>音乐表演</t>
  </si>
  <si>
    <t>090</t>
  </si>
  <si>
    <t>地理信息科学</t>
  </si>
  <si>
    <t>地理科学学院</t>
  </si>
  <si>
    <t>091</t>
  </si>
  <si>
    <t>自然地理与资源环境</t>
  </si>
  <si>
    <t>092</t>
  </si>
  <si>
    <t>人文地理与城乡规划</t>
  </si>
  <si>
    <t>093</t>
  </si>
  <si>
    <t>旅游管理</t>
  </si>
  <si>
    <t>094</t>
  </si>
  <si>
    <t>环境科学</t>
  </si>
  <si>
    <t>095</t>
  </si>
  <si>
    <t>交通工程</t>
  </si>
  <si>
    <t>交通学院</t>
  </si>
  <si>
    <t>交通运输</t>
  </si>
  <si>
    <t>097</t>
  </si>
  <si>
    <t>交通设备与控制工程</t>
  </si>
  <si>
    <t>098</t>
  </si>
  <si>
    <t>药学</t>
  </si>
  <si>
    <t>药学院</t>
  </si>
  <si>
    <t>099</t>
  </si>
  <si>
    <t>药物制剂</t>
  </si>
  <si>
    <t>100</t>
  </si>
  <si>
    <t>软件工程（嵌入式培养）</t>
  </si>
  <si>
    <t>《形势与政策》开课学期</t>
  </si>
  <si>
    <t>开课学期</t>
  </si>
  <si>
    <t>计算机科学学院</t>
  </si>
  <si>
    <t>马克思主义学院</t>
  </si>
  <si>
    <t>013</t>
  </si>
  <si>
    <t xml:space="preserve">    示例：本专业培养具有良好的思想道德品质、扎实的学科知识和较强的教育教学能力，能在小学从事小学语文、数学、科学学科教学等教育工作以及管理工作的高层次应用性人才。</t>
  </si>
  <si>
    <t xml:space="preserve">    示例：本专业学生主要学习汉语言文学或数学与科学方面的基础知识、教育科学基本理论，接受儿童教育技能的基本训练，掌握从事小学语文、数学、科学学科教学等工作的基本能力。
毕业生应获得以下几个方面的知识和能力：
    1.热爱社会主义祖国，拥护中国共产党领导，掌握马列主义、毛泽东思想和邓小平理论的基本原理；愿为社会主义现代化建设服务，为人民服务，有为国家富强、民族昌盛而奋斗的志向和责任感；具有敬业爱岗、艰苦奋斗、热爱劳动、遵纪守法、团结合作的品质；具有良好的思想品德、社会公德和职业道德；
    2.掌握汉语言文学或数学与科学方面的基础知识、教育科学基本理论知识。
    3.掌握观察研究小学生的科学方法。
    4.具备较强的从事小学语文、数学、科学学科教学等教育工作的能力。
    5.熟悉国家有关小学教育的方针、政策和法规。
    6.了解小学教育的理论前沿和发展动态。
    7.具有一定的科学研究和实际工作能力，具有一定的批判性思维能力.
    8.熟练掌握一门外国语，能查阅外文文献，具有听说读写的基础；具有较强的计算机应用能力。</t>
  </si>
  <si>
    <t xml:space="preserve">    示例：教育学、汉语言文学/数学</t>
  </si>
  <si>
    <t xml:space="preserve">    示例：学校教育发展、儿童发展与学习、教育研究方法、小学语文教学设计/小学数学教学设计。</t>
  </si>
  <si>
    <t xml:space="preserve">    示例：文学概论、中国古代文学（含中国古代文学史、中国古代文学作品选）、中国现代文学（含中国现代文学史、中国现代文学作品选、中国当代文学）、外国文学、语言学概论、古代汉语、现代汉语、比较文学、写作。</t>
  </si>
  <si>
    <t>专业入门与专业伦理</t>
  </si>
  <si>
    <t>大学语文
College Chinese</t>
  </si>
  <si>
    <t>自由选择开设</t>
  </si>
  <si>
    <t>文献信息检索
Document Information</t>
  </si>
  <si>
    <t>预填 课程1</t>
  </si>
  <si>
    <t>预填 课程2</t>
  </si>
  <si>
    <t>预填 课程3</t>
  </si>
  <si>
    <r>
      <t>大学计算机信息技术基础（</t>
    </r>
    <r>
      <rPr>
        <sz val="10"/>
        <color indexed="8"/>
        <rFont val="Times New Roman"/>
        <family val="1"/>
      </rPr>
      <t>I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Times New Roman"/>
        <family val="1"/>
      </rPr>
      <t xml:space="preserve">The Fundamentals of Computer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I</t>
    </r>
    <r>
      <rPr>
        <sz val="10"/>
        <color indexed="8"/>
        <rFont val="宋体"/>
        <family val="3"/>
        <charset val="134"/>
      </rPr>
      <t>）</t>
    </r>
  </si>
  <si>
    <r>
      <t>高级语言程序设计</t>
    </r>
    <r>
      <rPr>
        <sz val="10"/>
        <color indexed="8"/>
        <rFont val="Calibri"/>
        <family val="2"/>
      </rPr>
      <t>VB
Advanced Language Programing Design VB</t>
    </r>
  </si>
  <si>
    <r>
      <t>高级语言程序设计</t>
    </r>
    <r>
      <rPr>
        <sz val="10"/>
        <color indexed="8"/>
        <rFont val="Calibri"/>
        <family val="2"/>
      </rPr>
      <t>VC++
Advanced Language Programing Design VC++</t>
    </r>
  </si>
  <si>
    <r>
      <t>高级语言程序设计</t>
    </r>
    <r>
      <rPr>
        <sz val="10"/>
        <color indexed="8"/>
        <rFont val="Calibri"/>
        <family val="2"/>
      </rPr>
      <t>VFP
Advanced Language Programing Design VFP</t>
    </r>
  </si>
  <si>
    <r>
      <t>高级语言程序设计</t>
    </r>
    <r>
      <rPr>
        <sz val="10"/>
        <color indexed="8"/>
        <rFont val="Times New Roman"/>
        <family val="1"/>
      </rPr>
      <t>C
Advanced Language Program Design C</t>
    </r>
  </si>
  <si>
    <t>高级语言程序设计Python
Advanced Language Program Design Python</t>
  </si>
  <si>
    <r>
      <t>高等数学</t>
    </r>
    <r>
      <rPr>
        <sz val="10"/>
        <color indexed="8"/>
        <rFont val="Calibri"/>
        <family val="2"/>
      </rPr>
      <t>A</t>
    </r>
    <r>
      <rPr>
        <sz val="10"/>
        <color indexed="8"/>
        <rFont val="宋体"/>
        <family val="3"/>
        <charset val="134"/>
      </rPr>
      <t>（一）</t>
    </r>
    <r>
      <rPr>
        <sz val="10"/>
        <color indexed="8"/>
        <rFont val="Calibri"/>
        <family val="2"/>
      </rPr>
      <t xml:space="preserve">
Advanced Mathematics A </t>
    </r>
    <r>
      <rPr>
        <sz val="10"/>
        <color indexed="8"/>
        <rFont val="宋体"/>
        <family val="3"/>
        <charset val="134"/>
      </rPr>
      <t>Ⅰ</t>
    </r>
  </si>
  <si>
    <r>
      <t>高等数学</t>
    </r>
    <r>
      <rPr>
        <sz val="10"/>
        <color indexed="8"/>
        <rFont val="Calibri"/>
        <family val="2"/>
      </rPr>
      <t>A</t>
    </r>
    <r>
      <rPr>
        <sz val="10"/>
        <color indexed="8"/>
        <rFont val="宋体"/>
        <family val="3"/>
        <charset val="134"/>
      </rPr>
      <t>（二）</t>
    </r>
    <r>
      <rPr>
        <sz val="10"/>
        <color indexed="8"/>
        <rFont val="Calibri"/>
        <family val="2"/>
      </rPr>
      <t xml:space="preserve">
Advanced Mathematics A </t>
    </r>
    <r>
      <rPr>
        <sz val="10"/>
        <color indexed="8"/>
        <rFont val="宋体"/>
        <family val="3"/>
        <charset val="134"/>
      </rPr>
      <t>Ⅱ</t>
    </r>
  </si>
  <si>
    <r>
      <t>高等数学</t>
    </r>
    <r>
      <rPr>
        <sz val="10"/>
        <color indexed="8"/>
        <rFont val="Calibri"/>
        <family val="2"/>
      </rPr>
      <t>B</t>
    </r>
    <r>
      <rPr>
        <sz val="10"/>
        <color indexed="8"/>
        <rFont val="宋体"/>
        <family val="3"/>
        <charset val="134"/>
      </rPr>
      <t>（一）</t>
    </r>
    <r>
      <rPr>
        <sz val="10"/>
        <color indexed="8"/>
        <rFont val="Calibri"/>
        <family val="2"/>
      </rPr>
      <t xml:space="preserve">
Advanced Mathematics B </t>
    </r>
    <r>
      <rPr>
        <sz val="10"/>
        <color indexed="8"/>
        <rFont val="宋体"/>
        <family val="3"/>
        <charset val="134"/>
      </rPr>
      <t>Ⅰ</t>
    </r>
  </si>
  <si>
    <r>
      <t>高等数学</t>
    </r>
    <r>
      <rPr>
        <sz val="10"/>
        <color indexed="8"/>
        <rFont val="Calibri"/>
        <family val="2"/>
      </rPr>
      <t>B</t>
    </r>
    <r>
      <rPr>
        <sz val="10"/>
        <color indexed="8"/>
        <rFont val="宋体"/>
        <family val="3"/>
        <charset val="134"/>
      </rPr>
      <t>（二）
Advanced Mathematics B Ⅱ</t>
    </r>
  </si>
  <si>
    <r>
      <t>高等数学</t>
    </r>
    <r>
      <rPr>
        <sz val="10"/>
        <color indexed="8"/>
        <rFont val="Calibri"/>
        <family val="2"/>
      </rPr>
      <t>C
Advanced Mathematics C</t>
    </r>
  </si>
  <si>
    <t>医用高等数学
Medical Advanced Mathematics</t>
  </si>
  <si>
    <t>由相关专业确定</t>
  </si>
  <si>
    <r>
      <t>线性代数</t>
    </r>
    <r>
      <rPr>
        <sz val="10"/>
        <color indexed="8"/>
        <rFont val="Calibri"/>
        <family val="2"/>
      </rPr>
      <t>A
Linear Algebra A</t>
    </r>
  </si>
  <si>
    <r>
      <t>建议</t>
    </r>
    <r>
      <rPr>
        <sz val="10"/>
        <color indexed="8"/>
        <rFont val="Calibri"/>
        <family val="2"/>
      </rPr>
      <t>2</t>
    </r>
    <r>
      <rPr>
        <sz val="10"/>
        <color indexed="8"/>
        <rFont val="宋体"/>
        <family val="3"/>
        <charset val="134"/>
      </rPr>
      <t>或</t>
    </r>
    <r>
      <rPr>
        <sz val="10"/>
        <color indexed="8"/>
        <rFont val="Calibri"/>
        <family val="2"/>
      </rPr>
      <t>4</t>
    </r>
  </si>
  <si>
    <r>
      <t>线性代数</t>
    </r>
    <r>
      <rPr>
        <sz val="10"/>
        <color indexed="8"/>
        <rFont val="Calibri"/>
        <family val="2"/>
      </rPr>
      <t>B
Linear Algebra B</t>
    </r>
  </si>
  <si>
    <t>大学物理A（一）
College Physics A Ⅰ</t>
  </si>
  <si>
    <r>
      <t>大学物理</t>
    </r>
    <r>
      <rPr>
        <sz val="10"/>
        <color indexed="8"/>
        <rFont val="Calibri"/>
        <family val="2"/>
      </rPr>
      <t>A</t>
    </r>
    <r>
      <rPr>
        <sz val="10"/>
        <color indexed="8"/>
        <rFont val="宋体"/>
        <family val="3"/>
        <charset val="134"/>
      </rPr>
      <t>（二）</t>
    </r>
    <r>
      <rPr>
        <sz val="10"/>
        <color indexed="8"/>
        <rFont val="Calibri"/>
        <family val="2"/>
      </rPr>
      <t xml:space="preserve">
College Physics A </t>
    </r>
    <r>
      <rPr>
        <sz val="10"/>
        <color indexed="8"/>
        <rFont val="宋体"/>
        <family val="3"/>
        <charset val="134"/>
      </rPr>
      <t>Ⅱ</t>
    </r>
  </si>
  <si>
    <r>
      <t>大学物理</t>
    </r>
    <r>
      <rPr>
        <sz val="10"/>
        <color indexed="8"/>
        <rFont val="Calibri"/>
        <family val="2"/>
      </rPr>
      <t>B</t>
    </r>
    <r>
      <rPr>
        <sz val="10"/>
        <color indexed="8"/>
        <rFont val="宋体"/>
        <family val="3"/>
        <charset val="134"/>
      </rPr>
      <t>（一）</t>
    </r>
    <r>
      <rPr>
        <sz val="10"/>
        <color indexed="8"/>
        <rFont val="Calibri"/>
        <family val="2"/>
      </rPr>
      <t xml:space="preserve">
College Physics B </t>
    </r>
    <r>
      <rPr>
        <sz val="10"/>
        <color indexed="8"/>
        <rFont val="宋体"/>
        <family val="3"/>
        <charset val="134"/>
      </rPr>
      <t>Ⅰ</t>
    </r>
  </si>
  <si>
    <r>
      <t>大学物理</t>
    </r>
    <r>
      <rPr>
        <sz val="10"/>
        <color indexed="8"/>
        <rFont val="Calibri"/>
        <family val="2"/>
      </rPr>
      <t>B</t>
    </r>
    <r>
      <rPr>
        <sz val="10"/>
        <color indexed="8"/>
        <rFont val="宋体"/>
        <family val="3"/>
        <charset val="134"/>
      </rPr>
      <t>（二）</t>
    </r>
    <r>
      <rPr>
        <sz val="10"/>
        <color indexed="8"/>
        <rFont val="Calibri"/>
        <family val="2"/>
      </rPr>
      <t xml:space="preserve">
College Physics B </t>
    </r>
    <r>
      <rPr>
        <sz val="10"/>
        <color indexed="8"/>
        <rFont val="宋体"/>
        <family val="3"/>
        <charset val="134"/>
      </rPr>
      <t>Ⅱ</t>
    </r>
  </si>
  <si>
    <r>
      <t>大学物理</t>
    </r>
    <r>
      <rPr>
        <sz val="10"/>
        <color indexed="8"/>
        <rFont val="Times New Roman"/>
        <family val="1"/>
      </rPr>
      <t>C
College Physics C</t>
    </r>
  </si>
  <si>
    <r>
      <t>大学物理实验</t>
    </r>
    <r>
      <rPr>
        <sz val="10"/>
        <color indexed="8"/>
        <rFont val="Times New Roman"/>
        <family val="1"/>
      </rPr>
      <t>C
College Physics Experiment C</t>
    </r>
  </si>
  <si>
    <t>预填 课程4</t>
  </si>
  <si>
    <t>教师职业道德与教育政策法规
Teachers' professional ethics and educational policies and regulations</t>
  </si>
  <si>
    <t>学校教育发展
School education development</t>
  </si>
  <si>
    <t>中学生发展与学习
Development and learning of middle school students</t>
  </si>
  <si>
    <t>现代教育技术应用
Application of modern educational technology</t>
  </si>
  <si>
    <t>中学（学科）课程标准与教材研究</t>
  </si>
  <si>
    <t>建议5-6</t>
  </si>
  <si>
    <t>中学（学科）教学设计</t>
  </si>
  <si>
    <t>（学科）教育研究方法</t>
  </si>
  <si>
    <t>教育见习1
Education probation 1</t>
  </si>
  <si>
    <t>教育见习2
Education probation 2</t>
  </si>
  <si>
    <t>教育实习1
Education practice 1</t>
  </si>
  <si>
    <t>教育实习2
Education practice 2</t>
  </si>
  <si>
    <t>教师职业基本技能考核
Assessment of basic skills of Teachers</t>
  </si>
  <si>
    <t>有效教学与课堂管理
Effective teaching and classroom management</t>
  </si>
  <si>
    <t>4-7</t>
  </si>
  <si>
    <t>中学生品德发展与道德教育
Moral development and moral education of middle school students</t>
  </si>
  <si>
    <t>教育哲学基础
Philosophy foundation of Education</t>
  </si>
  <si>
    <t>中学生心理辅导
Psychological counseling for middle school students</t>
  </si>
  <si>
    <t>班级管理
Class management</t>
  </si>
  <si>
    <t>各学科方向自主设置课程1</t>
  </si>
  <si>
    <t>各学科方向自主设置课程2</t>
  </si>
  <si>
    <t>各学科方向自主设置课程3</t>
  </si>
  <si>
    <t>各学科方向自主设置课程4</t>
  </si>
  <si>
    <t>各学科方向自主设置课程5</t>
  </si>
  <si>
    <t>各学科方向自主设置课程6</t>
  </si>
  <si>
    <t>“选修课”至少选修学分（其中前5门中选修3学分）</t>
  </si>
  <si>
    <t>预填 课程5</t>
  </si>
  <si>
    <t>预填 课程6</t>
  </si>
  <si>
    <t>预填 课程7</t>
  </si>
  <si>
    <t>预填 课程8</t>
  </si>
  <si>
    <t>预填 课程9</t>
  </si>
  <si>
    <t>选修课选课提示：</t>
  </si>
  <si>
    <t>教师教育课程</t>
  </si>
  <si>
    <t>总学分提示：</t>
  </si>
  <si>
    <t>实验学分与总学分比例提示：</t>
  </si>
  <si>
    <t>师范类专业实践教学环节不低于18周（其中教育实习不少于14周）</t>
  </si>
  <si>
    <t>002</t>
  </si>
  <si>
    <t>汉语言文学（师范）</t>
  </si>
  <si>
    <t>005</t>
  </si>
  <si>
    <t>历史学（师范）</t>
  </si>
  <si>
    <t>历史学</t>
  </si>
  <si>
    <t>007</t>
  </si>
  <si>
    <t>数学与应用数学（师范）</t>
  </si>
  <si>
    <t>009</t>
  </si>
  <si>
    <t>物理学（师范）</t>
  </si>
  <si>
    <t>思想政治教育（师范）</t>
  </si>
  <si>
    <t>031</t>
  </si>
  <si>
    <t>英语（师范）</t>
  </si>
  <si>
    <t>035</t>
  </si>
  <si>
    <t>化学（师范）</t>
  </si>
  <si>
    <t>040</t>
  </si>
  <si>
    <t>生物科学（师范）</t>
  </si>
  <si>
    <t>078</t>
  </si>
  <si>
    <t>体育教育</t>
  </si>
  <si>
    <t>080</t>
  </si>
  <si>
    <t>美术学（师范）</t>
  </si>
  <si>
    <t>088</t>
  </si>
  <si>
    <t>音乐学（师范）</t>
  </si>
  <si>
    <t>089</t>
  </si>
  <si>
    <t>地理科学（师范）</t>
  </si>
  <si>
    <t>南通大学人才培养方案编辑系统V1.0版</t>
  </si>
  <si>
    <t>使用说明</t>
  </si>
  <si>
    <t xml:space="preserve">    1.系统简介</t>
  </si>
  <si>
    <t xml:space="preserve">    本系统以Microsoft Excel软件为开发平台，由其丰富的函数计算以及单元格“保护”等功能设计而成。人才培养方案中复杂的数据统计由系统即时生成，用户只要在系统的指定位置插入“预置课程信息”行，再将课程信息进行修改即可。系统适用于Microsoft Excel2000以上各版本。</t>
  </si>
  <si>
    <t xml:space="preserve">    2.相关定义</t>
  </si>
  <si>
    <t xml:space="preserve">    （1）平台：由“通识教育课程平台”、“综合素质培养课程平台”、“学科基础课程平台”、“教师教育课程平台”和“专业教育课程平台”组成。</t>
  </si>
  <si>
    <t xml:space="preserve">    （2）模块：各“平台”设“必修理论课程模块”、“必修独立实践环节模块”和“选修课程模块”、“选修独立实践环节模块”。</t>
  </si>
  <si>
    <t xml:space="preserve">    （3）录入区：系统将 A-R 列设为“课程信息录入区”（简称：“录入区”），该区域除红色字体以外的信息均可修改或删除，是用户课程信息录入的主要窗口。</t>
  </si>
  <si>
    <t xml:space="preserve">    （4）统计区：系统将 S-X 列设为“课程信息统计区”（简称：“统计区”），该区域单元格内预设了丰富的函数公式，用户只能整行复制，不能随意修改或删除。       </t>
  </si>
  <si>
    <t xml:space="preserve">    （5）分析区：系统将“九、学期学时测算表”和“十、学分分配表”所在区域设为“分析区”。该区域所有数据均由系统自动生成，用户无法修改。       </t>
  </si>
  <si>
    <r>
      <t xml:space="preserve">    3.课程信息录入方法</t>
    </r>
    <r>
      <rPr>
        <sz val="14"/>
        <color indexed="8"/>
        <rFont val="仿宋_GB2312"/>
        <family val="3"/>
        <charset val="134"/>
      </rPr>
      <t xml:space="preserve">    </t>
    </r>
  </si>
  <si>
    <r>
      <t xml:space="preserve">    用户只要在“录入区”进行编辑。“统计区”和“分析区”数据将随着“录入区”数据的变化而改变。（</t>
    </r>
    <r>
      <rPr>
        <sz val="14"/>
        <color indexed="10"/>
        <rFont val="仿宋_GB2312"/>
        <family val="3"/>
        <charset val="134"/>
      </rPr>
      <t>编辑时请认真阅读每一个批注</t>
    </r>
    <r>
      <rPr>
        <sz val="14"/>
        <color indexed="8"/>
        <rFont val="仿宋_GB2312"/>
        <family val="3"/>
        <charset val="134"/>
      </rPr>
      <t xml:space="preserve"> </t>
    </r>
    <r>
      <rPr>
        <sz val="14"/>
        <color indexed="10"/>
        <rFont val="仿宋_GB2312"/>
        <family val="3"/>
        <charset val="134"/>
      </rPr>
      <t>！</t>
    </r>
    <r>
      <rPr>
        <sz val="14"/>
        <color indexed="8"/>
        <rFont val="仿宋_GB2312"/>
        <family val="3"/>
        <charset val="134"/>
      </rPr>
      <t xml:space="preserve">） </t>
    </r>
  </si>
  <si>
    <t xml:space="preserve">    （1）方法一：采用修改“预置课程信息”的录入方法；
    （2）方法二：在“预置课程信息”行数不够的情况下，通过插入复制的“预置课程信息”行后，再按“方法一”的方法录入。</t>
  </si>
  <si>
    <r>
      <t xml:space="preserve">     注：系统对模块的尾行和红色预置课程的“统计区”进行了“保护”，用户只可以“复制”，不可以“删除”和“修改”。</t>
    </r>
    <r>
      <rPr>
        <sz val="14"/>
        <color indexed="10"/>
        <rFont val="仿宋_GB2312"/>
        <family val="3"/>
        <charset val="134"/>
      </rPr>
      <t>复制本系统老版本中的课程数据时，只能复制A-R列中自己录入的数据</t>
    </r>
    <r>
      <rPr>
        <sz val="14"/>
        <color indexed="8"/>
        <rFont val="仿宋_GB2312"/>
        <family val="3"/>
        <charset val="134"/>
      </rPr>
      <t xml:space="preserve">，并且要在新版系统中，按“方法二”在插入足够的“预置课程信息”行后再“粘贴”。  </t>
    </r>
  </si>
  <si>
    <r>
      <t xml:space="preserve">    4.插入复制的“预置课程信息”行的操作方法</t>
    </r>
    <r>
      <rPr>
        <sz val="14"/>
        <color indexed="8"/>
        <rFont val="仿宋_GB2312"/>
        <family val="3"/>
        <charset val="134"/>
      </rPr>
      <t xml:space="preserve">    </t>
    </r>
  </si>
  <si>
    <t xml:space="preserve">    步骤一：复制“预置课程信息”行：将鼠标移动到对应模块的最后一行（“小计”所在行的上一行）的行号上，右键单击“复制”。最后一行的所有数据（包括预置的函数公式等）复制成功。    </t>
  </si>
  <si>
    <r>
      <t xml:space="preserve">    </t>
    </r>
    <r>
      <rPr>
        <sz val="14"/>
        <color indexed="8"/>
        <rFont val="仿宋_GB2312"/>
        <family val="3"/>
        <charset val="134"/>
      </rPr>
      <t>步骤二：插入复制的“预置课程信息”行：将鼠标移动到该模块的最后一行（“小计”所在行的上一行）的行号上，右键单击“</t>
    </r>
    <r>
      <rPr>
        <sz val="14"/>
        <color indexed="10"/>
        <rFont val="仿宋_GB2312"/>
        <family val="3"/>
        <charset val="134"/>
      </rPr>
      <t>插入复制单元格</t>
    </r>
    <r>
      <rPr>
        <sz val="14"/>
        <color indexed="8"/>
        <rFont val="仿宋_GB2312"/>
        <family val="3"/>
        <charset val="134"/>
      </rPr>
      <t>”。复制的课程数据行就被插入到被选插入行号之前。</t>
    </r>
  </si>
  <si>
    <t xml:space="preserve">    注：（1）为何要在模块的最后一行上复制和插入？    </t>
  </si>
  <si>
    <r>
      <t xml:space="preserve">   </t>
    </r>
    <r>
      <rPr>
        <sz val="14"/>
        <color indexed="8"/>
        <rFont val="仿宋_GB2312"/>
        <family val="3"/>
        <charset val="134"/>
      </rPr>
      <t>系统在各模块的“标题”、“字段名”、“小计”、“统计区”所在行进行了“保护”。EXCEL只能在被“保护”单元格之后的第二行允许插入（该行无法统一预置）、被“保护”单元格之前（在上一行没有被“保护”的情况下）插入较为便捷。因此，软件统一将模块的最后一行（“小计”所在行的上一行）作为复制对象（公式）和插入点、倒数第二行系统未作“保护”设置。</t>
    </r>
  </si>
  <si>
    <r>
      <t xml:space="preserve">       </t>
    </r>
    <r>
      <rPr>
        <sz val="14"/>
        <color indexed="8"/>
        <rFont val="仿宋_GB2312"/>
        <family val="3"/>
        <charset val="134"/>
      </rPr>
      <t>（2）</t>
    </r>
    <r>
      <rPr>
        <sz val="14"/>
        <color indexed="10"/>
        <rFont val="仿宋_GB2312"/>
        <family val="3"/>
        <charset val="134"/>
      </rPr>
      <t>禁止在各模块的“小计”所在行进行“插入行”或“插入复制单元格”的操作，否则，系统结构被破坏，影响统计结果。</t>
    </r>
  </si>
  <si>
    <r>
      <t xml:space="preserve">    5.特别提醒</t>
    </r>
    <r>
      <rPr>
        <sz val="14"/>
        <color indexed="8"/>
        <rFont val="仿宋_GB2312"/>
        <family val="3"/>
        <charset val="134"/>
      </rPr>
      <t xml:space="preserve">     </t>
    </r>
  </si>
  <si>
    <t xml:space="preserve">    （1）由于专业特点，在实际方案编制中可能会减少某个模块（如“必修独立实践环节模块”），请以空记录（“录入区”单元格为空）的形式保留系统预置课程信息至少2行（便于再次编辑）；     </t>
  </si>
  <si>
    <t xml:space="preserve">    （2）误操作后可以通过“撤销”工具来取消刚进行的操作；
    （3）各平台录入区除红字以外的其他区域数据均可修改；
    （4）选修课按1：1.5的课程量设置，至少选修学分由各专业设定（“专业教育课程平台”独立实践与非独立实践学分分开设定）；    </t>
  </si>
  <si>
    <t xml:space="preserve">    （5）多个研究方向的专业，各方向单独填写excel文件，并将
不同点用蓝色字体作标记；
    （6）未设“选修课”或“独立实践环节”课程的可以不填；
    （7）要给文件做好备份。</t>
  </si>
  <si>
    <r>
      <t xml:space="preserve">    6.技术支持</t>
    </r>
    <r>
      <rPr>
        <sz val="14"/>
        <color indexed="8"/>
        <rFont val="仿宋_GB2312"/>
        <family val="3"/>
        <charset val="134"/>
      </rPr>
      <t xml:space="preserve">     </t>
    </r>
  </si>
  <si>
    <t xml:space="preserve">    作  者：赵林平        手  机：15062761359（61360）    
    Email：zlp@ntu.edu.cn    </t>
  </si>
  <si>
    <t xml:space="preserve">                                             南通大学教务处 
                                            二〇一七年十一月</t>
  </si>
  <si>
    <t>专业序号、专业名称、专业学院、专业类别、学制、学位对照表</t>
  </si>
  <si>
    <t>注：有教师教育平台、不上廉洁教育概论（●） 不上大外上第二外语（◆） 不上体育（▲）不上思政（■）</t>
  </si>
  <si>
    <t>001</t>
  </si>
  <si>
    <t>●</t>
  </si>
  <si>
    <t>●不上纲要</t>
  </si>
  <si>
    <t>●■</t>
  </si>
  <si>
    <t>◆</t>
  </si>
  <si>
    <t>●◆</t>
  </si>
  <si>
    <t>●▲</t>
  </si>
  <si>
    <t>▲</t>
  </si>
  <si>
    <t>一、通识部分</t>
  </si>
  <si>
    <t>1.《形势与政策》开课学期对照表</t>
  </si>
  <si>
    <t>3.大学英语（1-4）</t>
  </si>
  <si>
    <t>序号</t>
  </si>
  <si>
    <r>
      <t>除外国语学院相关专业，其余全部为</t>
    </r>
    <r>
      <rPr>
        <sz val="10"/>
        <color indexed="8"/>
        <rFont val="Calibri"/>
        <family val="2"/>
      </rPr>
      <t>1-4</t>
    </r>
    <r>
      <rPr>
        <sz val="10"/>
        <color indexed="8"/>
        <rFont val="宋体"/>
        <family val="3"/>
        <charset val="134"/>
      </rPr>
      <t>学期</t>
    </r>
  </si>
  <si>
    <t>1</t>
  </si>
  <si>
    <t>2</t>
  </si>
  <si>
    <t>4.体育（1-4）</t>
  </si>
  <si>
    <r>
      <t>除体育学院相关专业，其余全部为</t>
    </r>
    <r>
      <rPr>
        <sz val="10"/>
        <color indexed="8"/>
        <rFont val="Calibri"/>
        <family val="2"/>
      </rPr>
      <t>1-4</t>
    </r>
    <r>
      <rPr>
        <sz val="10"/>
        <color indexed="8"/>
        <rFont val="宋体"/>
        <family val="3"/>
        <charset val="134"/>
      </rPr>
      <t>学期</t>
    </r>
  </si>
  <si>
    <t>5.军事训练</t>
  </si>
  <si>
    <t>8</t>
  </si>
  <si>
    <t>开课学期全校均为第1学期</t>
  </si>
  <si>
    <t>9</t>
  </si>
  <si>
    <t>10</t>
  </si>
  <si>
    <t>11</t>
  </si>
  <si>
    <t>二、综合素质培养开课学期对照表</t>
  </si>
  <si>
    <t>12</t>
  </si>
  <si>
    <t>13</t>
  </si>
  <si>
    <r>
      <t>1.</t>
    </r>
    <r>
      <rPr>
        <b/>
        <sz val="10"/>
        <color indexed="8"/>
        <rFont val="宋体"/>
        <family val="3"/>
        <charset val="134"/>
      </rPr>
      <t>《大学生心理素质教育》</t>
    </r>
    <r>
      <rPr>
        <sz val="10"/>
        <color indexed="8"/>
        <rFont val="宋体"/>
        <family val="3"/>
        <charset val="134"/>
      </rPr>
      <t xml:space="preserve">
开课学期全校均在第</t>
    </r>
    <r>
      <rPr>
        <sz val="10"/>
        <color indexed="8"/>
        <rFont val="Calibri"/>
        <family val="2"/>
      </rPr>
      <t>2</t>
    </r>
    <r>
      <rPr>
        <sz val="10"/>
        <color indexed="8"/>
        <rFont val="宋体"/>
        <family val="3"/>
        <charset val="134"/>
      </rPr>
      <t>学期</t>
    </r>
  </si>
  <si>
    <t>14</t>
  </si>
  <si>
    <t>15</t>
  </si>
  <si>
    <r>
      <t>2.《大学生职业发展与创新创业教育》</t>
    </r>
    <r>
      <rPr>
        <sz val="10"/>
        <rFont val="宋体"/>
        <family val="3"/>
        <charset val="134"/>
      </rPr>
      <t xml:space="preserve">
大学生职业发展与创新创业教育（一）开课学期全校均为3
大学生职业发展与创新创业教育（二）开课学期全校均为6</t>
    </r>
  </si>
  <si>
    <t>16</t>
  </si>
  <si>
    <t>17</t>
  </si>
  <si>
    <t>18</t>
  </si>
  <si>
    <t>19</t>
  </si>
  <si>
    <r>
      <t>3《廉政教育概论》</t>
    </r>
    <r>
      <rPr>
        <sz val="10"/>
        <rFont val="宋体"/>
        <family val="3"/>
        <charset val="134"/>
      </rPr>
      <t xml:space="preserve">
在全校本科生中开设（师范类除外），具体开课情况如下：文科、医科开课学期为2，理科、工科开课学期为3</t>
    </r>
  </si>
  <si>
    <t>20</t>
  </si>
  <si>
    <t>21</t>
  </si>
  <si>
    <t>22</t>
  </si>
  <si>
    <r>
      <t xml:space="preserve">4《大学生创新创业教育实践》
</t>
    </r>
    <r>
      <rPr>
        <sz val="10"/>
        <color indexed="8"/>
        <rFont val="宋体"/>
        <family val="3"/>
        <charset val="134"/>
      </rPr>
      <t>开课学期全校均不填写，备注“课外实施”</t>
    </r>
  </si>
  <si>
    <t>23</t>
  </si>
  <si>
    <t>2.《思想政治理论课》开课对照表</t>
  </si>
  <si>
    <t>文科、医科</t>
  </si>
  <si>
    <t>思想道德修养与法律基础（3学分）
中国近现代史纲要（2学分）</t>
  </si>
  <si>
    <t>马克思主义基本原理概论（3学分）</t>
  </si>
  <si>
    <t>毛泽东思想和中国特色社会主义理论体系概论（4学分）
毛泽东思想和中国特色社会主义理论体系概论社会实践（2学分）</t>
  </si>
  <si>
    <t>176031001</t>
    <phoneticPr fontId="10" type="noConversion"/>
  </si>
  <si>
    <t>176031002</t>
    <phoneticPr fontId="10" type="noConversion"/>
  </si>
  <si>
    <t>176031003</t>
    <phoneticPr fontId="10" type="noConversion"/>
  </si>
  <si>
    <t>176031004</t>
    <phoneticPr fontId="10" type="noConversion"/>
  </si>
  <si>
    <t>176031005</t>
    <phoneticPr fontId="10" type="noConversion"/>
  </si>
  <si>
    <t>176071001</t>
    <phoneticPr fontId="10" type="noConversion"/>
  </si>
  <si>
    <t>176071002</t>
    <phoneticPr fontId="10" type="noConversion"/>
  </si>
  <si>
    <t>176071003</t>
    <phoneticPr fontId="10" type="noConversion"/>
  </si>
  <si>
    <t>176071004</t>
    <phoneticPr fontId="10" type="noConversion"/>
  </si>
  <si>
    <t>176191001</t>
    <phoneticPr fontId="10" type="noConversion"/>
  </si>
  <si>
    <t>176191002</t>
    <phoneticPr fontId="10" type="noConversion"/>
  </si>
  <si>
    <t>176191003</t>
    <phoneticPr fontId="10" type="noConversion"/>
  </si>
  <si>
    <t>176191004</t>
    <phoneticPr fontId="10" type="noConversion"/>
  </si>
  <si>
    <t>176191005</t>
    <phoneticPr fontId="10" type="noConversion"/>
  </si>
  <si>
    <t>173181001</t>
    <phoneticPr fontId="10" type="noConversion"/>
  </si>
  <si>
    <t>176031006</t>
    <phoneticPr fontId="10" type="noConversion"/>
  </si>
  <si>
    <t>173091001</t>
    <phoneticPr fontId="10" type="noConversion"/>
  </si>
  <si>
    <t>173091002</t>
    <phoneticPr fontId="10" type="noConversion"/>
  </si>
  <si>
    <t>173091003</t>
    <phoneticPr fontId="10" type="noConversion"/>
  </si>
  <si>
    <t>176031007</t>
    <phoneticPr fontId="10" type="noConversion"/>
  </si>
  <si>
    <t>175071004</t>
    <phoneticPr fontId="10" type="noConversion"/>
  </si>
  <si>
    <t>173091004</t>
    <phoneticPr fontId="10" type="noConversion"/>
  </si>
  <si>
    <t>176131002</t>
    <phoneticPr fontId="10" type="noConversion"/>
  </si>
  <si>
    <t>176131004</t>
    <phoneticPr fontId="10" type="noConversion"/>
  </si>
  <si>
    <t>176021001</t>
    <phoneticPr fontId="10" type="noConversion"/>
  </si>
  <si>
    <t>176021002</t>
    <phoneticPr fontId="10" type="noConversion"/>
  </si>
  <si>
    <t>176221030</t>
    <phoneticPr fontId="10" type="noConversion"/>
  </si>
  <si>
    <t>176021017</t>
    <phoneticPr fontId="10" type="noConversion"/>
  </si>
  <si>
    <t>176021008</t>
    <phoneticPr fontId="10" type="noConversion"/>
  </si>
  <si>
    <t>176021012</t>
    <phoneticPr fontId="10" type="noConversion"/>
  </si>
  <si>
    <t>176021013</t>
    <phoneticPr fontId="10" type="noConversion"/>
  </si>
  <si>
    <t>176021015</t>
    <phoneticPr fontId="10" type="noConversion"/>
  </si>
  <si>
    <t>工程力学
Engineering Mechanics</t>
    <phoneticPr fontId="10" type="noConversion"/>
  </si>
  <si>
    <t>176221026</t>
    <phoneticPr fontId="10" type="noConversion"/>
  </si>
  <si>
    <t>运筹学
Operational Research</t>
    <phoneticPr fontId="10" type="noConversion"/>
  </si>
  <si>
    <t>176221119</t>
    <phoneticPr fontId="10" type="noConversion"/>
  </si>
  <si>
    <t>交通运输工程学
Traffic and Transportation Engineering</t>
    <phoneticPr fontId="10" type="noConversion"/>
  </si>
  <si>
    <t>176221080</t>
    <phoneticPr fontId="10" type="noConversion"/>
  </si>
  <si>
    <t>176221108</t>
    <phoneticPr fontId="10" type="noConversion"/>
  </si>
  <si>
    <t>176131007</t>
    <phoneticPr fontId="10" type="noConversion"/>
  </si>
  <si>
    <t>176021009</t>
    <phoneticPr fontId="10" type="noConversion"/>
  </si>
  <si>
    <t>交通运输设备
Transport Equipment</t>
    <phoneticPr fontId="10" type="noConversion"/>
  </si>
  <si>
    <t>176221082</t>
    <phoneticPr fontId="10" type="noConversion"/>
  </si>
  <si>
    <t>交通电工电子学
Traffic Electrical and Electronics</t>
    <phoneticPr fontId="10" type="noConversion"/>
  </si>
  <si>
    <t>176221049</t>
    <phoneticPr fontId="10" type="noConversion"/>
  </si>
  <si>
    <t>机械设计基础
Fundamentals of Mechanical Design</t>
    <phoneticPr fontId="10" type="noConversion"/>
  </si>
  <si>
    <t>176221133</t>
    <phoneticPr fontId="10" type="noConversion"/>
  </si>
  <si>
    <t>管理学原理
Principles of Management</t>
    <phoneticPr fontId="10" type="noConversion"/>
  </si>
  <si>
    <t>176041063</t>
    <phoneticPr fontId="10" type="noConversion"/>
  </si>
  <si>
    <t>交通运输安全
Transportation Safety</t>
    <phoneticPr fontId="10" type="noConversion"/>
  </si>
  <si>
    <t>176221078</t>
    <phoneticPr fontId="10" type="noConversion"/>
  </si>
  <si>
    <t>交通运输系统仿真
Transportation System Simulation</t>
    <phoneticPr fontId="10" type="noConversion"/>
  </si>
  <si>
    <t>176221083</t>
    <phoneticPr fontId="10" type="noConversion"/>
  </si>
  <si>
    <t>会计学原理
Principles of Accounting</t>
    <phoneticPr fontId="10" type="noConversion"/>
  </si>
  <si>
    <t>176041077</t>
    <phoneticPr fontId="10" type="noConversion"/>
  </si>
  <si>
    <t>机械设计基础课程设计
Fundamentals of Mechanical Design</t>
    <phoneticPr fontId="10" type="noConversion"/>
  </si>
  <si>
    <t>176101060</t>
    <phoneticPr fontId="10" type="noConversion"/>
  </si>
  <si>
    <t>运输系统规划与设计
Transportation System Planning and Design</t>
    <phoneticPr fontId="10" type="noConversion"/>
  </si>
  <si>
    <t>176221124</t>
    <phoneticPr fontId="10" type="noConversion"/>
  </si>
  <si>
    <t>运输经济学
Transportation Economics</t>
    <phoneticPr fontId="10" type="noConversion"/>
  </si>
  <si>
    <t>176221122</t>
    <phoneticPr fontId="10" type="noConversion"/>
  </si>
  <si>
    <t>运输组织学
Transportation Organizing</t>
    <phoneticPr fontId="10" type="noConversion"/>
  </si>
  <si>
    <t>176221126</t>
    <phoneticPr fontId="10" type="noConversion"/>
  </si>
  <si>
    <t>交通枢纽与场站
Transport Hub and Terminal</t>
    <phoneticPr fontId="10" type="noConversion"/>
  </si>
  <si>
    <t>176221068</t>
    <phoneticPr fontId="10" type="noConversion"/>
  </si>
  <si>
    <t>汽车理论与运用工程
Automobile Apply Engineering</t>
    <phoneticPr fontId="10" type="noConversion"/>
  </si>
  <si>
    <t>176221100</t>
    <phoneticPr fontId="10" type="noConversion"/>
  </si>
  <si>
    <t>城市公共交通运营管理
Management of Urban Public Transport</t>
    <phoneticPr fontId="10" type="noConversion"/>
  </si>
  <si>
    <t>176221005</t>
    <phoneticPr fontId="10" type="noConversion"/>
  </si>
  <si>
    <t>运输系统规划与设计课程设计
Transportation System Planning Design</t>
    <phoneticPr fontId="10" type="noConversion"/>
  </si>
  <si>
    <t>176221125</t>
    <phoneticPr fontId="10" type="noConversion"/>
  </si>
  <si>
    <t>运输经济学课程设计
Transportation Economics Design</t>
    <phoneticPr fontId="10" type="noConversion"/>
  </si>
  <si>
    <t>176221123</t>
    <phoneticPr fontId="10" type="noConversion"/>
  </si>
  <si>
    <t>运输组织学课程设计
Transportation Organizing Design</t>
    <phoneticPr fontId="10" type="noConversion"/>
  </si>
  <si>
    <t>176221127</t>
    <phoneticPr fontId="10" type="noConversion"/>
  </si>
  <si>
    <t>交通枢纽与场站课程设计
Transport Hub and Terminal Design</t>
    <phoneticPr fontId="10" type="noConversion"/>
  </si>
  <si>
    <t>176221069</t>
    <phoneticPr fontId="10" type="noConversion"/>
  </si>
  <si>
    <t>交通运输综合实训
Comprehensive Training of Transportation</t>
    <phoneticPr fontId="10" type="noConversion"/>
  </si>
  <si>
    <t>176221087</t>
    <phoneticPr fontId="10" type="noConversion"/>
  </si>
  <si>
    <t>176221131</t>
    <phoneticPr fontId="10" type="noConversion"/>
  </si>
  <si>
    <t>176221001</t>
    <phoneticPr fontId="10" type="noConversion"/>
  </si>
  <si>
    <t>物流工程学
Logistics Engineering</t>
    <phoneticPr fontId="10" type="noConversion"/>
  </si>
  <si>
    <t>176221115</t>
    <phoneticPr fontId="10" type="noConversion"/>
  </si>
  <si>
    <t xml:space="preserve">汽车构造
Structure of Automobile </t>
    <phoneticPr fontId="10" type="noConversion"/>
  </si>
  <si>
    <t>176221098</t>
    <phoneticPr fontId="10" type="noConversion"/>
  </si>
  <si>
    <t>交通运输商务
Transportation Business</t>
    <phoneticPr fontId="10" type="noConversion"/>
  </si>
  <si>
    <t>176221081</t>
    <phoneticPr fontId="10" type="noConversion"/>
  </si>
  <si>
    <t>交通运输专业英语
Professional English in Transportation</t>
    <phoneticPr fontId="10" type="noConversion"/>
  </si>
  <si>
    <t>176221086</t>
    <phoneticPr fontId="10" type="noConversion"/>
  </si>
  <si>
    <t>交通运输法规 
Transportation Regulations</t>
    <phoneticPr fontId="10" type="noConversion"/>
  </si>
  <si>
    <t>176221079</t>
    <phoneticPr fontId="10" type="noConversion"/>
  </si>
  <si>
    <t>交通系统分析
Traffic System Analysis</t>
    <phoneticPr fontId="10" type="noConversion"/>
  </si>
  <si>
    <t>176221072</t>
    <phoneticPr fontId="10" type="noConversion"/>
  </si>
  <si>
    <t>物流与供应链管理
Logistics and Supply Chain Management</t>
    <phoneticPr fontId="10" type="noConversion"/>
  </si>
  <si>
    <t>176221116</t>
    <phoneticPr fontId="10" type="noConversion"/>
  </si>
  <si>
    <t>交通地理信息系统
GIS Principle and Application</t>
    <phoneticPr fontId="10" type="noConversion"/>
  </si>
  <si>
    <t>176221048</t>
    <phoneticPr fontId="10" type="noConversion"/>
  </si>
  <si>
    <t>汽车营销学
Automobile Marketing</t>
    <phoneticPr fontId="10" type="noConversion"/>
  </si>
  <si>
    <t>176221103</t>
    <phoneticPr fontId="10" type="noConversion"/>
  </si>
  <si>
    <t>汽车服务工程
Automobile Service Engineering</t>
    <phoneticPr fontId="10" type="noConversion"/>
  </si>
  <si>
    <t>176221097</t>
    <phoneticPr fontId="10" type="noConversion"/>
  </si>
  <si>
    <t>运输代理理论与实务
Theory and Practices of Transport Agency</t>
    <phoneticPr fontId="10" type="noConversion"/>
  </si>
  <si>
    <t>176221121</t>
    <phoneticPr fontId="10" type="noConversion"/>
  </si>
  <si>
    <t>交通运输信息管理
Transportation Information Management</t>
    <phoneticPr fontId="10" type="noConversion"/>
  </si>
  <si>
    <t>176221084</t>
    <phoneticPr fontId="10" type="noConversion"/>
  </si>
  <si>
    <t>交通大数据处理技术
Traffic Big Data Process Technology</t>
    <phoneticPr fontId="10" type="noConversion"/>
  </si>
  <si>
    <t>176221047</t>
    <phoneticPr fontId="10" type="noConversion"/>
  </si>
  <si>
    <t>交通管理与控制
Traffic Management and Control</t>
    <phoneticPr fontId="10" type="noConversion"/>
  </si>
  <si>
    <t>176221056</t>
    <phoneticPr fontId="10" type="noConversion"/>
  </si>
  <si>
    <t>汽车电器与电子技术
Automobile Electrical Equipment and Electronic Technology</t>
    <phoneticPr fontId="10" type="noConversion"/>
  </si>
  <si>
    <t>176221096</t>
    <phoneticPr fontId="10" type="noConversion"/>
  </si>
  <si>
    <t>发动机原理
Automobile Engine Theory</t>
    <phoneticPr fontId="10" type="noConversion"/>
  </si>
  <si>
    <t>176221022</t>
    <phoneticPr fontId="10" type="noConversion"/>
  </si>
  <si>
    <t>汽车文化 
Automobile Culture</t>
    <phoneticPr fontId="10" type="noConversion"/>
  </si>
  <si>
    <t>176221101</t>
    <phoneticPr fontId="10" type="noConversion"/>
  </si>
  <si>
    <t>城市客运交通系统
Urban Passenger Transport System</t>
    <phoneticPr fontId="10" type="noConversion"/>
  </si>
  <si>
    <t>176221009</t>
    <phoneticPr fontId="10" type="noConversion"/>
  </si>
  <si>
    <t>汽车诊断与维修工程
Automobile Diagnosis and Maintenance Engineering</t>
    <phoneticPr fontId="10" type="noConversion"/>
  </si>
  <si>
    <t>176221104</t>
    <phoneticPr fontId="10" type="noConversion"/>
  </si>
  <si>
    <t>汽车保险与理赔
Automobile Insurance and claim</t>
    <phoneticPr fontId="10" type="noConversion"/>
  </si>
  <si>
    <t>176221095</t>
    <phoneticPr fontId="10" type="noConversion"/>
  </si>
  <si>
    <t>汽车新技术
Advanced  Technology of Automobile</t>
    <phoneticPr fontId="10" type="noConversion"/>
  </si>
  <si>
    <t>176221102</t>
    <phoneticPr fontId="10" type="noConversion"/>
  </si>
  <si>
    <t>汽车构造拆装实习
Automotive construction disassembly practice</t>
    <phoneticPr fontId="10" type="noConversion"/>
  </si>
  <si>
    <t>176221099</t>
    <phoneticPr fontId="10" type="noConversion"/>
  </si>
  <si>
    <t>驾驶实习
Driving Practice</t>
    <phoneticPr fontId="10" type="noConversion"/>
  </si>
  <si>
    <t>176221045</t>
    <phoneticPr fontId="10" type="noConversion"/>
  </si>
  <si>
    <t>交通专业导论
Introduction to transportation specialty</t>
    <phoneticPr fontId="10" type="noConversion"/>
  </si>
  <si>
    <t>196331001</t>
    <phoneticPr fontId="10" type="noConversion"/>
  </si>
  <si>
    <t>1-7</t>
    <phoneticPr fontId="10" type="noConversion"/>
  </si>
  <si>
    <r>
      <rPr>
        <sz val="9"/>
        <rFont val="宋体"/>
        <family val="3"/>
        <charset val="134"/>
      </rPr>
      <t xml:space="preserve">思想政治理论课实践
</t>
    </r>
    <r>
      <rPr>
        <sz val="9"/>
        <rFont val="Times New Roman"/>
        <family val="1"/>
      </rPr>
      <t>The ideological and political education pratical lessons</t>
    </r>
    <phoneticPr fontId="10" type="noConversion"/>
  </si>
  <si>
    <r>
      <rPr>
        <sz val="9"/>
        <rFont val="宋体"/>
        <family val="3"/>
        <charset val="134"/>
      </rPr>
      <t>劳动教育
L</t>
    </r>
    <r>
      <rPr>
        <sz val="9"/>
        <rFont val="Times New Roman"/>
        <family val="1"/>
      </rPr>
      <t>abour education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</si>
</sst>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_ "/>
    <numFmt numFmtId="178" formatCode="0_);[Red]\(0\)"/>
    <numFmt numFmtId="179" formatCode="0.00_);[Red]\(0.00\)"/>
  </numFmts>
  <fonts count="51"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仿宋_GB2312"/>
      <family val="3"/>
      <charset val="134"/>
    </font>
    <font>
      <b/>
      <sz val="22"/>
      <color indexed="8"/>
      <name val="黑体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5"/>
      <name val="宋体"/>
      <family val="3"/>
      <charset val="134"/>
    </font>
    <font>
      <b/>
      <sz val="13"/>
      <name val="宋体"/>
      <family val="3"/>
      <charset val="134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宋体"/>
      <family val="3"/>
      <charset val="134"/>
    </font>
    <font>
      <sz val="9"/>
      <color indexed="8"/>
      <name val="Times New Roman"/>
      <family val="1"/>
    </font>
    <font>
      <sz val="8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10"/>
      <color indexed="10"/>
      <name val="宋体"/>
      <family val="3"/>
      <charset val="134"/>
    </font>
    <font>
      <sz val="10"/>
      <color indexed="12"/>
      <name val="宋体"/>
      <family val="3"/>
      <charset val="134"/>
    </font>
    <font>
      <sz val="10.5"/>
      <name val="宋体"/>
      <family val="3"/>
      <charset val="134"/>
    </font>
    <font>
      <b/>
      <sz val="9"/>
      <name val="Times New Roman"/>
      <family val="1"/>
    </font>
    <font>
      <sz val="14"/>
      <color indexed="10"/>
      <name val="仿宋_GB2312"/>
      <family val="3"/>
      <charset val="134"/>
    </font>
    <font>
      <b/>
      <sz val="9"/>
      <color indexed="8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40"/>
      <name val="宋体"/>
      <family val="3"/>
      <charset val="134"/>
    </font>
    <font>
      <sz val="9"/>
      <color indexed="40"/>
      <name val="宋体"/>
      <family val="3"/>
      <charset val="134"/>
    </font>
    <font>
      <sz val="9"/>
      <color indexed="40"/>
      <name val="Times New Roman"/>
      <family val="1"/>
    </font>
    <font>
      <b/>
      <sz val="9"/>
      <color indexed="40"/>
      <name val="Times New Roman"/>
      <family val="1"/>
    </font>
    <font>
      <sz val="9"/>
      <color indexed="40"/>
      <name val="宋体"/>
      <family val="3"/>
      <charset val="134"/>
    </font>
    <font>
      <sz val="9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 applyNumberFormat="0" applyFill="0" applyAlignment="0">
      <alignment vertical="center"/>
      <protection locked="0"/>
    </xf>
    <xf numFmtId="0" fontId="26" fillId="0" borderId="0" applyNumberFormat="0" applyFill="0" applyAlignment="0" applyProtection="0">
      <alignment vertical="center"/>
    </xf>
    <xf numFmtId="0" fontId="16" fillId="0" borderId="0">
      <alignment vertical="center"/>
    </xf>
  </cellStyleXfs>
  <cellXfs count="425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</xf>
    <xf numFmtId="49" fontId="10" fillId="0" borderId="1" xfId="0" applyNumberFormat="1" applyFont="1" applyBorder="1" applyAlignment="1" applyProtection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left" vertical="center" shrinkToFit="1"/>
    </xf>
    <xf numFmtId="49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49" fontId="9" fillId="0" borderId="1" xfId="0" applyNumberFormat="1" applyFont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left" shrinkToFit="1"/>
    </xf>
    <xf numFmtId="0" fontId="15" fillId="0" borderId="1" xfId="0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left" vertical="center" shrinkToFit="1"/>
    </xf>
    <xf numFmtId="49" fontId="1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8" fillId="3" borderId="0" xfId="0" applyFont="1" applyFill="1" applyBorder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1" fillId="3" borderId="0" xfId="0" applyFont="1" applyFill="1" applyBorder="1" applyProtection="1">
      <alignment vertical="center"/>
      <protection locked="0"/>
    </xf>
    <xf numFmtId="0" fontId="1" fillId="3" borderId="0" xfId="0" applyFont="1" applyFill="1" applyBorder="1" applyProtection="1">
      <alignment vertical="center"/>
      <protection locked="0"/>
    </xf>
    <xf numFmtId="49" fontId="1" fillId="3" borderId="0" xfId="0" applyNumberFormat="1" applyFont="1" applyFill="1" applyBorder="1" applyProtection="1">
      <alignment vertical="center"/>
      <protection locked="0"/>
    </xf>
    <xf numFmtId="0" fontId="23" fillId="3" borderId="0" xfId="0" applyFont="1" applyFill="1" applyBorder="1" applyProtection="1">
      <alignment vertical="center"/>
      <protection locked="0"/>
    </xf>
    <xf numFmtId="176" fontId="24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23" fillId="4" borderId="1" xfId="0" applyFont="1" applyFill="1" applyBorder="1" applyAlignment="1" applyProtection="1">
      <alignment horizontal="center" vertical="center" wrapText="1"/>
      <protection hidden="1"/>
    </xf>
    <xf numFmtId="0" fontId="23" fillId="4" borderId="1" xfId="0" applyFont="1" applyFill="1" applyBorder="1" applyProtection="1">
      <alignment vertical="center"/>
      <protection hidden="1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Protection="1">
      <alignment vertical="center"/>
      <protection hidden="1"/>
    </xf>
    <xf numFmtId="49" fontId="11" fillId="4" borderId="1" xfId="0" applyNumberFormat="1" applyFont="1" applyFill="1" applyBorder="1" applyProtection="1">
      <alignment vertical="center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alignment vertical="center"/>
      <protection locked="0"/>
    </xf>
    <xf numFmtId="0" fontId="18" fillId="3" borderId="0" xfId="0" applyFont="1" applyFill="1" applyBorder="1" applyProtection="1">
      <alignment vertical="center"/>
      <protection hidden="1"/>
    </xf>
    <xf numFmtId="0" fontId="1" fillId="3" borderId="0" xfId="0" applyFont="1" applyFill="1" applyBorder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4" borderId="1" xfId="0" applyFont="1" applyFill="1" applyBorder="1" applyProtection="1">
      <alignment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177" fontId="23" fillId="3" borderId="1" xfId="0" applyNumberFormat="1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32" fillId="3" borderId="1" xfId="0" applyFont="1" applyFill="1" applyBorder="1" applyProtection="1">
      <alignment vertical="center"/>
      <protection locked="0"/>
    </xf>
    <xf numFmtId="0" fontId="23" fillId="4" borderId="1" xfId="0" applyFont="1" applyFill="1" applyBorder="1" applyAlignment="1" applyProtection="1">
      <alignment vertical="center" wrapText="1"/>
      <protection locked="0"/>
    </xf>
    <xf numFmtId="0" fontId="23" fillId="3" borderId="1" xfId="0" applyFont="1" applyFill="1" applyBorder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Protection="1">
      <alignment vertical="center"/>
      <protection locked="0"/>
    </xf>
    <xf numFmtId="177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177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Protection="1">
      <alignment vertical="center"/>
      <protection hidden="1"/>
    </xf>
    <xf numFmtId="177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Protection="1">
      <alignment vertical="center"/>
      <protection hidden="1"/>
    </xf>
    <xf numFmtId="0" fontId="23" fillId="3" borderId="1" xfId="0" applyFont="1" applyFill="1" applyBorder="1" applyProtection="1">
      <alignment vertical="center"/>
      <protection hidden="1"/>
    </xf>
    <xf numFmtId="0" fontId="23" fillId="3" borderId="1" xfId="0" applyFont="1" applyFill="1" applyBorder="1" applyAlignment="1" applyProtection="1">
      <alignment vertical="center" wrapText="1"/>
      <protection hidden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Protection="1">
      <alignment vertical="center"/>
    </xf>
    <xf numFmtId="0" fontId="10" fillId="3" borderId="1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vertical="center"/>
      <protection hidden="1"/>
    </xf>
    <xf numFmtId="0" fontId="28" fillId="3" borderId="1" xfId="0" applyFont="1" applyFill="1" applyBorder="1" applyAlignment="1" applyProtection="1">
      <alignment horizontal="center" vertical="center" wrapText="1"/>
      <protection hidden="1"/>
    </xf>
    <xf numFmtId="0" fontId="33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23" fillId="4" borderId="1" xfId="0" applyFont="1" applyFill="1" applyBorder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 wrapText="1"/>
      <protection hidden="1"/>
    </xf>
    <xf numFmtId="0" fontId="34" fillId="3" borderId="0" xfId="0" applyFont="1" applyFill="1" applyBorder="1" applyProtection="1">
      <alignment vertical="center"/>
      <protection locked="0"/>
    </xf>
    <xf numFmtId="0" fontId="23" fillId="3" borderId="0" xfId="0" applyFont="1" applyFill="1" applyBorder="1" applyAlignment="1" applyProtection="1">
      <alignment vertical="center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8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178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36" fillId="4" borderId="1" xfId="0" applyFont="1" applyFill="1" applyBorder="1" applyAlignment="1" applyProtection="1">
      <alignment horizontal="center" vertical="center" wrapText="1"/>
      <protection locked="0"/>
    </xf>
    <xf numFmtId="0" fontId="36" fillId="4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178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justify" vertical="top" wrapText="1"/>
      <protection hidden="1"/>
    </xf>
    <xf numFmtId="0" fontId="23" fillId="4" borderId="1" xfId="0" applyFont="1" applyFill="1" applyBorder="1" applyAlignment="1" applyProtection="1">
      <alignment vertical="center" wrapText="1"/>
      <protection hidden="1"/>
    </xf>
    <xf numFmtId="49" fontId="23" fillId="4" borderId="1" xfId="0" applyNumberFormat="1" applyFont="1" applyFill="1" applyBorder="1" applyAlignment="1" applyProtection="1">
      <alignment horizontal="center" vertical="center"/>
      <protection hidden="1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justify" vertical="top" wrapText="1"/>
      <protection locked="0"/>
    </xf>
    <xf numFmtId="49" fontId="1" fillId="4" borderId="1" xfId="0" applyNumberFormat="1" applyFont="1" applyFill="1" applyBorder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</xf>
    <xf numFmtId="49" fontId="37" fillId="0" borderId="1" xfId="0" applyNumberFormat="1" applyFont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37" fillId="0" borderId="7" xfId="0" applyNumberFormat="1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horizontal="justify" vertical="top" wrapText="1"/>
      <protection locked="0"/>
    </xf>
    <xf numFmtId="178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Border="1" applyProtection="1">
      <alignment vertical="center"/>
      <protection hidden="1"/>
    </xf>
    <xf numFmtId="0" fontId="38" fillId="3" borderId="0" xfId="0" applyFont="1" applyFill="1" applyBorder="1" applyProtection="1">
      <alignment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Protection="1">
      <alignment vertical="center"/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49" fontId="37" fillId="3" borderId="0" xfId="0" applyNumberFormat="1" applyFont="1" applyFill="1" applyBorder="1" applyAlignment="1" applyProtection="1">
      <alignment horizontal="center" vertical="center" shrinkToFit="1"/>
      <protection hidden="1"/>
    </xf>
    <xf numFmtId="49" fontId="16" fillId="0" borderId="1" xfId="0" applyNumberFormat="1" applyFont="1" applyBorder="1" applyAlignment="1" applyProtection="1">
      <alignment horizontal="center" vertical="center"/>
      <protection hidden="1"/>
    </xf>
    <xf numFmtId="49" fontId="17" fillId="0" borderId="1" xfId="0" applyNumberFormat="1" applyFont="1" applyFill="1" applyBorder="1" applyAlignment="1" applyProtection="1">
      <alignment horizontal="left" vertical="center" shrinkToFit="1"/>
      <protection hidden="1"/>
    </xf>
    <xf numFmtId="49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9" fillId="0" borderId="1" xfId="0" applyFont="1" applyFill="1" applyBorder="1">
      <alignment vertical="center"/>
    </xf>
    <xf numFmtId="49" fontId="17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left" vertical="top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  <protection hidden="1"/>
    </xf>
    <xf numFmtId="49" fontId="9" fillId="4" borderId="1" xfId="0" applyNumberFormat="1" applyFont="1" applyFill="1" applyBorder="1" applyAlignment="1" applyProtection="1">
      <alignment horizontal="center" vertical="center"/>
      <protection hidden="1"/>
    </xf>
    <xf numFmtId="0" fontId="30" fillId="4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49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178" fontId="2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178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0" applyNumberFormat="1" applyFont="1" applyFill="1" applyBorder="1" applyAlignment="1" applyProtection="1">
      <alignment horizontal="center" vertical="center"/>
      <protection locked="0"/>
    </xf>
    <xf numFmtId="49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49" fontId="30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>
      <alignment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Protection="1">
      <alignment vertical="center"/>
      <protection hidden="1"/>
    </xf>
    <xf numFmtId="49" fontId="1" fillId="3" borderId="0" xfId="0" applyNumberFormat="1" applyFont="1" applyFill="1" applyBorder="1" applyProtection="1">
      <alignment vertical="center"/>
      <protection hidden="1"/>
    </xf>
    <xf numFmtId="49" fontId="15" fillId="0" borderId="1" xfId="0" applyNumberFormat="1" applyFont="1" applyBorder="1" applyAlignment="1" applyProtection="1">
      <alignment horizontal="center" vertical="center"/>
      <protection hidden="1"/>
    </xf>
    <xf numFmtId="49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23" fillId="3" borderId="0" xfId="0" applyFont="1" applyFill="1" applyBorder="1" applyProtection="1">
      <alignment vertical="center"/>
      <protection hidden="1"/>
    </xf>
    <xf numFmtId="0" fontId="46" fillId="3" borderId="0" xfId="0" applyFont="1" applyFill="1" applyBorder="1" applyProtection="1">
      <alignment vertical="center"/>
      <protection locked="0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7" fillId="4" borderId="1" xfId="0" applyFont="1" applyFill="1" applyBorder="1" applyAlignment="1" applyProtection="1">
      <alignment horizontal="center" vertical="center" wrapText="1"/>
      <protection locked="0"/>
    </xf>
    <xf numFmtId="49" fontId="47" fillId="4" borderId="1" xfId="0" applyNumberFormat="1" applyFont="1" applyFill="1" applyBorder="1" applyAlignment="1" applyProtection="1">
      <alignment horizontal="center" vertical="center"/>
      <protection locked="0"/>
    </xf>
    <xf numFmtId="0" fontId="48" fillId="4" borderId="1" xfId="0" applyFont="1" applyFill="1" applyBorder="1" applyAlignment="1" applyProtection="1">
      <alignment horizontal="center" vertical="center" wrapText="1"/>
      <protection locked="0"/>
    </xf>
    <xf numFmtId="178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46" fillId="3" borderId="1" xfId="0" applyNumberFormat="1" applyFont="1" applyFill="1" applyBorder="1" applyAlignment="1" applyProtection="1">
      <alignment horizontal="center" vertical="center"/>
      <protection locked="0"/>
    </xf>
    <xf numFmtId="0" fontId="46" fillId="3" borderId="1" xfId="0" applyFont="1" applyFill="1" applyBorder="1" applyAlignment="1" applyProtection="1">
      <alignment horizontal="center" vertical="center"/>
      <protection locked="0"/>
    </xf>
    <xf numFmtId="0" fontId="46" fillId="3" borderId="1" xfId="0" applyFont="1" applyFill="1" applyBorder="1" applyAlignment="1" applyProtection="1">
      <alignment horizontal="center" vertical="center" wrapText="1"/>
      <protection locked="0"/>
    </xf>
    <xf numFmtId="0" fontId="47" fillId="4" borderId="1" xfId="0" applyFont="1" applyFill="1" applyBorder="1" applyAlignment="1" applyProtection="1">
      <alignment horizontal="center" vertical="top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49" fontId="47" fillId="0" borderId="1" xfId="0" applyNumberFormat="1" applyFont="1" applyFill="1" applyBorder="1" applyAlignment="1" applyProtection="1">
      <alignment horizontal="center" vertical="center"/>
      <protection locked="0"/>
    </xf>
    <xf numFmtId="177" fontId="46" fillId="3" borderId="1" xfId="0" applyNumberFormat="1" applyFont="1" applyFill="1" applyBorder="1" applyAlignment="1" applyProtection="1">
      <alignment horizontal="center" vertical="center"/>
    </xf>
    <xf numFmtId="0" fontId="46" fillId="3" borderId="1" xfId="0" applyFont="1" applyFill="1" applyBorder="1" applyAlignment="1" applyProtection="1">
      <alignment horizontal="center" vertical="center"/>
    </xf>
    <xf numFmtId="0" fontId="46" fillId="3" borderId="1" xfId="0" applyFont="1" applyFill="1" applyBorder="1" applyAlignment="1" applyProtection="1">
      <alignment horizontal="center" vertical="center" wrapText="1"/>
    </xf>
    <xf numFmtId="0" fontId="45" fillId="4" borderId="1" xfId="0" applyFont="1" applyFill="1" applyBorder="1" applyAlignment="1" applyProtection="1">
      <alignment horizontal="center" vertical="center"/>
      <protection hidden="1"/>
    </xf>
    <xf numFmtId="0" fontId="48" fillId="4" borderId="1" xfId="0" applyFont="1" applyFill="1" applyBorder="1" applyAlignment="1" applyProtection="1">
      <alignment horizontal="center" vertical="center"/>
      <protection hidden="1"/>
    </xf>
    <xf numFmtId="49" fontId="48" fillId="4" borderId="1" xfId="0" applyNumberFormat="1" applyFont="1" applyFill="1" applyBorder="1" applyAlignment="1" applyProtection="1">
      <alignment horizontal="center" vertical="center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46" fillId="3" borderId="1" xfId="0" applyFont="1" applyFill="1" applyBorder="1" applyAlignment="1" applyProtection="1">
      <alignment horizontal="center" vertical="center" wrapText="1"/>
      <protection hidden="1"/>
    </xf>
    <xf numFmtId="0" fontId="47" fillId="4" borderId="1" xfId="0" applyFont="1" applyFill="1" applyBorder="1" applyAlignment="1" applyProtection="1">
      <alignment horizontal="center" vertical="center"/>
      <protection locked="0"/>
    </xf>
    <xf numFmtId="0" fontId="48" fillId="4" borderId="1" xfId="0" applyFont="1" applyFill="1" applyBorder="1" applyAlignment="1" applyProtection="1">
      <alignment horizontal="center" vertical="center" wrapText="1"/>
      <protection hidden="1"/>
    </xf>
    <xf numFmtId="177" fontId="45" fillId="3" borderId="1" xfId="0" applyNumberFormat="1" applyFont="1" applyFill="1" applyBorder="1" applyAlignment="1" applyProtection="1">
      <alignment horizontal="center" vertical="center"/>
      <protection hidden="1"/>
    </xf>
    <xf numFmtId="0" fontId="46" fillId="3" borderId="1" xfId="0" applyFont="1" applyFill="1" applyBorder="1" applyAlignment="1" applyProtection="1">
      <alignment horizontal="center" vertical="center"/>
      <protection hidden="1"/>
    </xf>
    <xf numFmtId="0" fontId="46" fillId="4" borderId="1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26" fillId="0" borderId="0" xfId="2" applyFill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176" fontId="24" fillId="3" borderId="1" xfId="0" applyNumberFormat="1" applyFont="1" applyFill="1" applyBorder="1" applyAlignment="1" applyProtection="1">
      <alignment horizontal="center" vertical="center"/>
      <protection hidden="1"/>
    </xf>
    <xf numFmtId="176" fontId="24" fillId="3" borderId="2" xfId="0" applyNumberFormat="1" applyFont="1" applyFill="1" applyBorder="1" applyAlignment="1" applyProtection="1">
      <alignment horizontal="center" vertical="center" wrapText="1"/>
      <protection hidden="1"/>
    </xf>
    <xf numFmtId="176" fontId="24" fillId="3" borderId="4" xfId="0" applyNumberFormat="1" applyFont="1" applyFill="1" applyBorder="1" applyAlignment="1" applyProtection="1">
      <alignment horizontal="center" vertical="center" wrapText="1"/>
      <protection hidden="1"/>
    </xf>
    <xf numFmtId="176" fontId="2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Alignment="1" applyProtection="1">
      <alignment horizontal="center" vertical="center"/>
      <protection hidden="1"/>
    </xf>
    <xf numFmtId="0" fontId="25" fillId="0" borderId="0" xfId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24" fillId="3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49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left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11" fillId="4" borderId="2" xfId="0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49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23" fillId="4" borderId="1" xfId="0" applyFont="1" applyFill="1" applyBorder="1" applyAlignment="1" applyProtection="1">
      <alignment horizontal="left" vertical="center" wrapText="1"/>
    </xf>
    <xf numFmtId="0" fontId="29" fillId="4" borderId="1" xfId="0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left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0" fontId="29" fillId="4" borderId="3" xfId="0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43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44" fillId="4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46" fillId="4" borderId="1" xfId="0" applyNumberFormat="1" applyFont="1" applyFill="1" applyBorder="1" applyAlignment="1" applyProtection="1">
      <alignment horizontal="center" vertical="center"/>
      <protection locked="0"/>
    </xf>
    <xf numFmtId="0" fontId="49" fillId="4" borderId="1" xfId="0" applyFont="1" applyFill="1" applyBorder="1" applyAlignment="1" applyProtection="1">
      <alignment horizontal="left" vertical="center" wrapText="1"/>
      <protection locked="0"/>
    </xf>
    <xf numFmtId="0" fontId="46" fillId="4" borderId="1" xfId="0" applyFont="1" applyFill="1" applyBorder="1" applyAlignment="1" applyProtection="1">
      <alignment horizontal="left" vertical="center" wrapText="1"/>
      <protection locked="0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5" fillId="4" borderId="1" xfId="0" applyFont="1" applyFill="1" applyBorder="1" applyAlignment="1" applyProtection="1">
      <alignment horizontal="center" vertical="center"/>
      <protection hidden="1"/>
    </xf>
    <xf numFmtId="0" fontId="45" fillId="4" borderId="1" xfId="0" applyFont="1" applyFill="1" applyBorder="1" applyAlignment="1" applyProtection="1">
      <alignment horizontal="left" vertical="center" wrapText="1"/>
      <protection hidden="1"/>
    </xf>
    <xf numFmtId="0" fontId="45" fillId="4" borderId="8" xfId="0" applyFont="1" applyFill="1" applyBorder="1" applyAlignment="1" applyProtection="1">
      <alignment horizontal="center" vertical="center" wrapText="1"/>
      <protection hidden="1"/>
    </xf>
    <xf numFmtId="0" fontId="45" fillId="4" borderId="9" xfId="0" applyFont="1" applyFill="1" applyBorder="1" applyAlignment="1" applyProtection="1">
      <alignment horizontal="center" vertical="center" wrapText="1"/>
      <protection hidden="1"/>
    </xf>
    <xf numFmtId="0" fontId="45" fillId="4" borderId="10" xfId="0" applyFont="1" applyFill="1" applyBorder="1" applyAlignment="1" applyProtection="1">
      <alignment horizontal="center" vertical="center" wrapText="1"/>
      <protection hidden="1"/>
    </xf>
    <xf numFmtId="0" fontId="45" fillId="4" borderId="6" xfId="0" applyFont="1" applyFill="1" applyBorder="1" applyAlignment="1" applyProtection="1">
      <alignment horizontal="center" vertical="center" wrapText="1"/>
      <protection hidden="1"/>
    </xf>
    <xf numFmtId="0" fontId="45" fillId="4" borderId="11" xfId="0" applyFont="1" applyFill="1" applyBorder="1" applyAlignment="1" applyProtection="1">
      <alignment horizontal="center" vertical="center" wrapText="1"/>
      <protection hidden="1"/>
    </xf>
    <xf numFmtId="0" fontId="45" fillId="4" borderId="12" xfId="0" applyFont="1" applyFill="1" applyBorder="1" applyAlignment="1" applyProtection="1">
      <alignment horizontal="center" vertical="center" wrapText="1"/>
      <protection hidden="1"/>
    </xf>
    <xf numFmtId="0" fontId="45" fillId="4" borderId="5" xfId="0" applyFont="1" applyFill="1" applyBorder="1" applyAlignment="1" applyProtection="1">
      <alignment horizontal="center" vertical="center" wrapText="1"/>
      <protection hidden="1"/>
    </xf>
    <xf numFmtId="0" fontId="45" fillId="4" borderId="7" xfId="0" applyFont="1" applyFill="1" applyBorder="1" applyAlignment="1" applyProtection="1">
      <alignment horizontal="center" vertical="center" wrapText="1"/>
      <protection hidden="1"/>
    </xf>
    <xf numFmtId="0" fontId="45" fillId="4" borderId="2" xfId="0" applyFont="1" applyFill="1" applyBorder="1" applyAlignment="1" applyProtection="1">
      <alignment horizontal="center" vertical="center"/>
      <protection hidden="1"/>
    </xf>
    <xf numFmtId="0" fontId="45" fillId="4" borderId="4" xfId="0" applyFont="1" applyFill="1" applyBorder="1" applyAlignment="1" applyProtection="1">
      <alignment horizontal="center" vertical="center"/>
      <protection hidden="1"/>
    </xf>
    <xf numFmtId="0" fontId="45" fillId="4" borderId="3" xfId="0" applyFont="1" applyFill="1" applyBorder="1" applyAlignment="1" applyProtection="1">
      <alignment horizontal="center" vertical="center"/>
      <protection hidden="1"/>
    </xf>
    <xf numFmtId="0" fontId="46" fillId="0" borderId="1" xfId="0" applyFont="1" applyFill="1" applyBorder="1" applyAlignment="1" applyProtection="1">
      <alignment horizontal="left" vertical="center" wrapText="1"/>
      <protection locked="0"/>
    </xf>
    <xf numFmtId="49" fontId="45" fillId="4" borderId="1" xfId="0" applyNumberFormat="1" applyFont="1" applyFill="1" applyBorder="1" applyAlignment="1" applyProtection="1">
      <alignment horizontal="center" vertical="center" textRotation="255"/>
      <protection locked="0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78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178" fontId="1" fillId="4" borderId="2" xfId="0" applyNumberFormat="1" applyFont="1" applyFill="1" applyBorder="1" applyAlignment="1" applyProtection="1">
      <alignment horizontal="center"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178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79" fontId="1" fillId="4" borderId="1" xfId="0" applyNumberFormat="1" applyFont="1" applyFill="1" applyBorder="1" applyAlignment="1" applyProtection="1">
      <alignment horizontal="center" vertical="center"/>
      <protection hidden="1"/>
    </xf>
    <xf numFmtId="10" fontId="1" fillId="4" borderId="1" xfId="0" applyNumberFormat="1" applyFont="1" applyFill="1" applyBorder="1" applyAlignment="1" applyProtection="1">
      <alignment horizontal="center" vertical="center"/>
      <protection hidden="1"/>
    </xf>
    <xf numFmtId="179" fontId="23" fillId="3" borderId="2" xfId="0" applyNumberFormat="1" applyFont="1" applyFill="1" applyBorder="1" applyAlignment="1" applyProtection="1">
      <alignment horizontal="center" vertical="center"/>
      <protection hidden="1"/>
    </xf>
    <xf numFmtId="179" fontId="23" fillId="3" borderId="3" xfId="0" applyNumberFormat="1" applyFont="1" applyFill="1" applyBorder="1" applyAlignment="1" applyProtection="1">
      <alignment horizontal="center" vertical="center"/>
      <protection hidden="1"/>
    </xf>
    <xf numFmtId="10" fontId="11" fillId="4" borderId="1" xfId="0" applyNumberFormat="1" applyFont="1" applyFill="1" applyBorder="1" applyAlignment="1" applyProtection="1">
      <alignment horizontal="center" vertical="center"/>
      <protection hidden="1"/>
    </xf>
    <xf numFmtId="179" fontId="11" fillId="4" borderId="1" xfId="0" applyNumberFormat="1" applyFont="1" applyFill="1" applyBorder="1" applyAlignment="1" applyProtection="1">
      <alignment horizontal="center" vertical="center"/>
      <protection hidden="1"/>
    </xf>
    <xf numFmtId="177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3" borderId="2" xfId="0" applyFont="1" applyFill="1" applyBorder="1" applyAlignment="1" applyProtection="1">
      <alignment horizontal="center" vertical="center" wrapText="1"/>
      <protection hidden="1"/>
    </xf>
    <xf numFmtId="0" fontId="23" fillId="3" borderId="3" xfId="0" applyFont="1" applyFill="1" applyBorder="1" applyAlignment="1" applyProtection="1">
      <alignment horizontal="center" vertical="center" wrapText="1"/>
      <protection hidden="1"/>
    </xf>
    <xf numFmtId="10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8" xfId="0" applyNumberFormat="1" applyFont="1" applyFill="1" applyBorder="1" applyAlignment="1" applyProtection="1">
      <alignment horizontal="center" vertical="center" wrapText="1"/>
      <protection hidden="1"/>
    </xf>
    <xf numFmtId="49" fontId="45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45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0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45" fillId="3" borderId="8" xfId="0" applyFont="1" applyFill="1" applyBorder="1" applyAlignment="1" applyProtection="1">
      <alignment horizontal="center" vertical="center" wrapText="1"/>
      <protection hidden="1"/>
    </xf>
    <xf numFmtId="0" fontId="45" fillId="3" borderId="9" xfId="0" applyFont="1" applyFill="1" applyBorder="1" applyAlignment="1" applyProtection="1">
      <alignment horizontal="center" vertical="center" wrapText="1"/>
      <protection hidden="1"/>
    </xf>
    <xf numFmtId="49" fontId="4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hidden="1"/>
    </xf>
    <xf numFmtId="0" fontId="45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2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10" fillId="4" borderId="2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/>
      <protection hidden="1"/>
    </xf>
    <xf numFmtId="0" fontId="8" fillId="4" borderId="5" xfId="0" applyFont="1" applyFill="1" applyBorder="1" applyAlignment="1" applyProtection="1">
      <alignment horizontal="left" vertical="center"/>
      <protection hidden="1"/>
    </xf>
    <xf numFmtId="0" fontId="23" fillId="4" borderId="2" xfId="0" applyFont="1" applyFill="1" applyBorder="1" applyAlignment="1" applyProtection="1">
      <alignment horizontal="left" vertical="center" wrapText="1"/>
      <protection hidden="1"/>
    </xf>
    <xf numFmtId="0" fontId="23" fillId="4" borderId="4" xfId="0" applyFont="1" applyFill="1" applyBorder="1" applyAlignment="1" applyProtection="1">
      <alignment horizontal="left" vertical="center" wrapText="1"/>
      <protection hidden="1"/>
    </xf>
    <xf numFmtId="0" fontId="23" fillId="4" borderId="3" xfId="0" applyFont="1" applyFill="1" applyBorder="1" applyAlignment="1" applyProtection="1">
      <alignment horizontal="left" vertical="center" wrapText="1"/>
      <protection hidden="1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0" fontId="11" fillId="4" borderId="4" xfId="0" applyFont="1" applyFill="1" applyBorder="1" applyAlignment="1" applyProtection="1">
      <alignment horizontal="left" vertical="center" wrapText="1"/>
      <protection hidden="1"/>
    </xf>
    <xf numFmtId="0" fontId="11" fillId="4" borderId="3" xfId="0" applyFont="1" applyFill="1" applyBorder="1" applyAlignment="1" applyProtection="1">
      <alignment horizontal="left" vertical="center" wrapText="1"/>
      <protection hidden="1"/>
    </xf>
    <xf numFmtId="49" fontId="1" fillId="4" borderId="2" xfId="0" applyNumberFormat="1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center" vertical="center"/>
    </xf>
    <xf numFmtId="49" fontId="11" fillId="4" borderId="2" xfId="0" applyNumberFormat="1" applyFont="1" applyFill="1" applyBorder="1" applyAlignment="1" applyProtection="1">
      <alignment horizontal="center" vertical="center" textRotation="255"/>
      <protection locked="0"/>
    </xf>
    <xf numFmtId="49" fontId="11" fillId="4" borderId="3" xfId="0" applyNumberFormat="1" applyFont="1" applyFill="1" applyBorder="1" applyAlignment="1" applyProtection="1">
      <alignment horizontal="center" vertical="center" textRotation="255"/>
      <protection locked="0"/>
    </xf>
    <xf numFmtId="0" fontId="8" fillId="4" borderId="4" xfId="0" applyFont="1" applyFill="1" applyBorder="1" applyAlignment="1" applyProtection="1">
      <alignment horizontal="left" vertical="center"/>
      <protection hidden="1"/>
    </xf>
    <xf numFmtId="49" fontId="11" fillId="4" borderId="1" xfId="0" applyNumberFormat="1" applyFont="1" applyFill="1" applyBorder="1" applyAlignment="1" applyProtection="1">
      <alignment horizontal="center" vertical="center" textRotation="255"/>
      <protection locked="0"/>
    </xf>
    <xf numFmtId="179" fontId="1" fillId="3" borderId="1" xfId="0" applyNumberFormat="1" applyFont="1" applyFill="1" applyBorder="1" applyAlignment="1" applyProtection="1">
      <alignment horizontal="center" vertical="center"/>
      <protection hidden="1"/>
    </xf>
    <xf numFmtId="179" fontId="1" fillId="3" borderId="2" xfId="0" applyNumberFormat="1" applyFont="1" applyFill="1" applyBorder="1" applyAlignment="1" applyProtection="1">
      <alignment horizontal="center" vertical="center"/>
      <protection hidden="1"/>
    </xf>
    <xf numFmtId="179" fontId="1" fillId="3" borderId="3" xfId="0" applyNumberFormat="1" applyFont="1" applyFill="1" applyBorder="1" applyAlignment="1" applyProtection="1">
      <alignment horizontal="center" vertical="center"/>
      <protection hidden="1"/>
    </xf>
    <xf numFmtId="49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0" fontId="13" fillId="0" borderId="5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</cellXfs>
  <cellStyles count="4">
    <cellStyle name="标题 1" xfId="1" builtinId="16"/>
    <cellStyle name="标题 2" xfId="2" builtinId="17"/>
    <cellStyle name="常规" xfId="0" builtinId="0"/>
    <cellStyle name="常规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329"/>
  <sheetViews>
    <sheetView tabSelected="1" topLeftCell="A33" workbookViewId="0">
      <selection activeCell="AG48" sqref="AG48"/>
    </sheetView>
  </sheetViews>
  <sheetFormatPr defaultRowHeight="11.25"/>
  <cols>
    <col min="1" max="1" width="3.625" style="29" customWidth="1"/>
    <col min="2" max="2" width="4.375" style="30" customWidth="1"/>
    <col min="3" max="15" width="4.125" style="30" customWidth="1"/>
    <col min="16" max="16" width="4.125" style="31" customWidth="1"/>
    <col min="17" max="17" width="4.125" style="30" customWidth="1"/>
    <col min="18" max="23" width="6.625" style="30" customWidth="1"/>
    <col min="24" max="24" width="10.375" style="30" customWidth="1"/>
    <col min="25" max="25" width="5.875" style="30" hidden="1" customWidth="1"/>
    <col min="26" max="26" width="12.75" style="32" hidden="1" customWidth="1"/>
    <col min="27" max="27" width="15.5" style="30" hidden="1" customWidth="1"/>
    <col min="28" max="28" width="11" style="30" hidden="1" customWidth="1"/>
    <col min="29" max="29" width="5.125" style="30" hidden="1" customWidth="1"/>
    <col min="30" max="30" width="8.125" style="30" hidden="1" customWidth="1"/>
    <col min="31" max="31" width="10.25" style="30" hidden="1" customWidth="1"/>
    <col min="32" max="16384" width="9" style="30"/>
  </cols>
  <sheetData>
    <row r="1" spans="1:26" ht="30" customHeight="1">
      <c r="A1" s="242" t="s">
        <v>0</v>
      </c>
      <c r="B1" s="242"/>
      <c r="C1" s="253" t="str">
        <f>IF(ISERROR(LOOKUP(O2,Z213:Z300,AA213:AA300)),"",LOOKUP(O2,Z213:Z300,AA213:AA300))</f>
        <v>交通运输</v>
      </c>
      <c r="D1" s="254"/>
      <c r="E1" s="254"/>
      <c r="F1" s="255"/>
      <c r="G1" s="242" t="s">
        <v>1</v>
      </c>
      <c r="H1" s="242"/>
      <c r="I1" s="253" t="str">
        <f>IF(ISERROR(LOOKUP(O2,Z213:Z300,AB213:AB300)),"",LOOKUP(O2,Z213:Z300,AB213:AB300))</f>
        <v>交通学院</v>
      </c>
      <c r="J1" s="254"/>
      <c r="K1" s="254"/>
      <c r="L1" s="255"/>
      <c r="M1" s="247" t="s">
        <v>2</v>
      </c>
      <c r="N1" s="247"/>
      <c r="O1" s="247" t="str">
        <f>IF(ISERROR(LOOKUP(O2,Z213:Z300,AD213:AD300)),"",LOOKUP(O2,Z213:Z300,AD213:AD300))</f>
        <v>理工科</v>
      </c>
      <c r="P1" s="247"/>
      <c r="Q1" s="247"/>
      <c r="R1" s="240" t="s">
        <v>3</v>
      </c>
      <c r="S1" s="240"/>
      <c r="T1" s="182" t="s">
        <v>4</v>
      </c>
      <c r="U1" s="181" t="s">
        <v>5</v>
      </c>
      <c r="V1" s="241"/>
      <c r="W1" s="241"/>
    </row>
    <row r="2" spans="1:26" ht="30" customHeight="1">
      <c r="A2" s="242" t="s">
        <v>6</v>
      </c>
      <c r="B2" s="242"/>
      <c r="C2" s="33" t="str">
        <f>IF(ISERROR(LOOKUP(O2,Z213:Z300,AC213:AC300)),"",LOOKUP(O2,Z213:Z300,AC213:AC300))</f>
        <v>4</v>
      </c>
      <c r="D2" s="243" t="s">
        <v>7</v>
      </c>
      <c r="E2" s="243"/>
      <c r="F2" s="244" t="str">
        <f>IF(ISERROR(LOOKUP(O2,Z213:Z300,AE213:AE300)),"",LOOKUP(O2,Z213:Z300,AE213:AE300))</f>
        <v>工学</v>
      </c>
      <c r="G2" s="245"/>
      <c r="H2" s="246"/>
      <c r="I2" s="247" t="s">
        <v>8</v>
      </c>
      <c r="J2" s="247"/>
      <c r="K2" s="247"/>
      <c r="L2" s="41">
        <f>IF(ISERROR(LOOKUP(I1,Z307:Z329,AA307:AA329)),"",LOOKUP(I1,Z307:Z329,AA307:AA329))</f>
        <v>2</v>
      </c>
      <c r="M2" s="247" t="s">
        <v>9</v>
      </c>
      <c r="N2" s="247"/>
      <c r="O2" s="248" t="s">
        <v>10</v>
      </c>
      <c r="P2" s="248"/>
      <c r="Q2" s="248"/>
      <c r="R2" s="240" t="s">
        <v>11</v>
      </c>
      <c r="S2" s="240"/>
      <c r="T2" s="182" t="s">
        <v>12</v>
      </c>
      <c r="U2" s="181" t="s">
        <v>5</v>
      </c>
      <c r="V2" s="241"/>
      <c r="W2" s="241"/>
    </row>
    <row r="3" spans="1:26" ht="55.5" customHeight="1">
      <c r="A3" s="249" t="str">
        <f>IF(C1="","×××专业人才培养方案",C1&amp;"专业人才培养方案")</f>
        <v>交通运输专业人才培养方案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26" s="26" customFormat="1" ht="21.95" customHeight="1">
      <c r="A4" s="239" t="s">
        <v>13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Z4" s="93"/>
    </row>
    <row r="5" spans="1:26" ht="72" customHeight="1">
      <c r="A5" s="251" t="s">
        <v>14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26" s="26" customFormat="1" ht="21.95" customHeight="1">
      <c r="A6" s="239" t="s">
        <v>15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Z6" s="93"/>
    </row>
    <row r="7" spans="1:26" s="27" customFormat="1" ht="236.1" customHeight="1">
      <c r="A7" s="251" t="s">
        <v>16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Z7" s="94"/>
    </row>
    <row r="8" spans="1:26" s="26" customFormat="1" ht="21.95" customHeight="1">
      <c r="A8" s="239" t="s">
        <v>17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Z8" s="93"/>
    </row>
    <row r="9" spans="1:26" ht="29.25" customHeight="1">
      <c r="A9" s="251" t="s">
        <v>18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26" s="26" customFormat="1" ht="24.95" customHeight="1">
      <c r="A10" s="239" t="s">
        <v>19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Z10" s="93"/>
    </row>
    <row r="11" spans="1:26" ht="24" customHeight="1">
      <c r="A11" s="257" t="str">
        <f>IF(C2="","","    学制为"&amp;C2&amp;"年，最长修业年限为"&amp;IF(C2="4",8,9)&amp;"年。")</f>
        <v xml:space="preserve">    学制为4年，最长修业年限为8年。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30" t="str">
        <f>IF(C2=4,8,IF(C2=5,9,""))</f>
        <v/>
      </c>
    </row>
    <row r="12" spans="1:26" s="26" customFormat="1" ht="24" customHeight="1">
      <c r="A12" s="239" t="s">
        <v>20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Z12" s="93"/>
    </row>
    <row r="13" spans="1:26" ht="67.5" customHeight="1">
      <c r="A13" s="257" t="str">
        <f>IF(C1="","","    在修业年限内，学生修满本专业教学计划规定的"&amp;D188&amp;"学分，其中通识教育课程平台"&amp;D184&amp;"学分、综合素质培养课程平台"&amp;D185&amp;"学分、学科基础课程平台"&amp;D186&amp;"学分、专业教育课程平台"&amp;D187&amp;"学分方可申请毕业符合学位授予要求者经申请可授予"&amp;F2&amp;"学士学位。")</f>
        <v xml:space="preserve">    在修业年限内，学生修满本专业教学计划规定的171学分，其中通识教育课程平台43学分、综合素质培养课程平台8.5学分、学科基础课程平台53.5学分、专业教育课程平台66学分方可申请毕业符合学位授予要求者经申请可授予工学学士学位。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</row>
    <row r="14" spans="1:26" s="26" customFormat="1" ht="24" customHeight="1">
      <c r="A14" s="239" t="s">
        <v>21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Z14" s="93"/>
    </row>
    <row r="15" spans="1:26" ht="39.75" customHeight="1">
      <c r="A15" s="251" t="s">
        <v>22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26" s="26" customFormat="1" ht="23.1" customHeight="1">
      <c r="A16" s="239" t="s">
        <v>23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Z16" s="93"/>
    </row>
    <row r="17" spans="1:26" ht="54" customHeight="1">
      <c r="A17" s="251" t="s">
        <v>24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30" t="s">
        <v>25</v>
      </c>
    </row>
    <row r="18" spans="1:26" s="26" customFormat="1" ht="21.95" customHeight="1">
      <c r="A18" s="239" t="s">
        <v>26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Z18" s="93"/>
    </row>
    <row r="19" spans="1:26" ht="21.95" customHeight="1">
      <c r="A19" s="256" t="str">
        <f>"    （一）通识教育课程平台（"&amp;J40+J46+SUMIF(R50:R50,"&gt;0",J50:J50)+6&amp;"学分）"</f>
        <v xml:space="preserve">    （一）通识教育课程平台（43学分）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9"/>
      <c r="S19" s="29"/>
      <c r="T19" s="29"/>
      <c r="U19" s="29"/>
      <c r="V19" s="29"/>
      <c r="W19" s="29"/>
    </row>
    <row r="20" spans="1:26" ht="21.95" customHeight="1">
      <c r="A20" s="256" t="str">
        <f>"    1.必修课（"&amp;J40+J46&amp;"）学分"</f>
        <v xml:space="preserve">    1.必修课（37）学分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7"/>
      <c r="S20" s="27"/>
      <c r="T20" s="27"/>
      <c r="U20" s="27"/>
      <c r="V20" s="27"/>
      <c r="W20" s="27"/>
    </row>
    <row r="21" spans="1:26" ht="18.75" customHeight="1">
      <c r="A21" s="261" t="s">
        <v>27</v>
      </c>
      <c r="B21" s="261"/>
      <c r="C21" s="261" t="s">
        <v>28</v>
      </c>
      <c r="D21" s="261"/>
      <c r="E21" s="261"/>
      <c r="F21" s="261"/>
      <c r="G21" s="261"/>
      <c r="H21" s="261"/>
      <c r="I21" s="261"/>
      <c r="J21" s="261" t="s">
        <v>29</v>
      </c>
      <c r="K21" s="262" t="s">
        <v>30</v>
      </c>
      <c r="L21" s="262"/>
      <c r="M21" s="262"/>
      <c r="N21" s="262"/>
      <c r="O21" s="261" t="s">
        <v>31</v>
      </c>
      <c r="P21" s="342" t="s">
        <v>32</v>
      </c>
      <c r="Q21" s="261" t="s">
        <v>33</v>
      </c>
      <c r="R21" s="346" t="s">
        <v>34</v>
      </c>
      <c r="S21" s="348" t="s">
        <v>35</v>
      </c>
      <c r="T21" s="348" t="s">
        <v>36</v>
      </c>
      <c r="U21" s="348" t="s">
        <v>37</v>
      </c>
      <c r="V21" s="348" t="s">
        <v>38</v>
      </c>
      <c r="W21" s="348" t="s">
        <v>39</v>
      </c>
      <c r="X21" s="348" t="s">
        <v>40</v>
      </c>
    </row>
    <row r="22" spans="1:26" ht="57.95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34" t="s">
        <v>41</v>
      </c>
      <c r="L22" s="34" t="s">
        <v>42</v>
      </c>
      <c r="M22" s="34" t="s">
        <v>43</v>
      </c>
      <c r="N22" s="34" t="s">
        <v>44</v>
      </c>
      <c r="O22" s="261"/>
      <c r="P22" s="342"/>
      <c r="Q22" s="261"/>
      <c r="R22" s="346"/>
      <c r="S22" s="348"/>
      <c r="T22" s="348"/>
      <c r="U22" s="348"/>
      <c r="V22" s="348"/>
      <c r="W22" s="348"/>
      <c r="X22" s="348"/>
    </row>
    <row r="23" spans="1:26" ht="24.75" customHeight="1">
      <c r="A23" s="259" t="s">
        <v>532</v>
      </c>
      <c r="B23" s="259"/>
      <c r="C23" s="260" t="s">
        <v>45</v>
      </c>
      <c r="D23" s="260"/>
      <c r="E23" s="260"/>
      <c r="F23" s="260"/>
      <c r="G23" s="260"/>
      <c r="H23" s="260"/>
      <c r="I23" s="260"/>
      <c r="J23" s="54">
        <v>2</v>
      </c>
      <c r="K23" s="54">
        <v>32</v>
      </c>
      <c r="L23" s="54">
        <v>32</v>
      </c>
      <c r="M23" s="43"/>
      <c r="N23" s="43"/>
      <c r="O23" s="43"/>
      <c r="P23" s="43">
        <f>L2</f>
        <v>2</v>
      </c>
      <c r="Q23" s="183"/>
      <c r="R23" s="184"/>
      <c r="S23" s="63">
        <f>IF(ISERROR(J23*L23/(L23+M23/2+N23/2)),"",J23*L23/(L23+M23/2+N23/2))</f>
        <v>2</v>
      </c>
      <c r="T23" s="63">
        <f>IF(ISERROR(J23*M23/2/(L23+M23/2+N23/2)),"",J23*M23/2/(L23+M23/2+N23/2))</f>
        <v>0</v>
      </c>
      <c r="U23" s="63">
        <f>IF(ISERROR(J23*N23/2/(L23+M23/2+N23/2)),"",J23*N23/2/(L23+M23/2+N23/2))</f>
        <v>0</v>
      </c>
      <c r="V23" s="64" t="str">
        <f>IF(O23="√",1,"")</f>
        <v/>
      </c>
      <c r="W23" s="65"/>
      <c r="X23" s="65" t="str">
        <f>IF(J23="","",IF(ISERROR(IF(K23&lt;&gt;L23+M23+N23,"学时计算有误！","")&amp;IF(P23="","请填写修读学期！","")&amp;IF(P23&gt;10,"超出修读期限！","")&amp;IF(J23&lt;&gt;S23+T23+U23,"学分计算有误！","")),"",IF(K23&lt;&gt;L23+M23+N23,"学时计算有误！","")&amp;IF(P23="","请填写修读学期！","")&amp;IF(P23&gt;10,"超出修读期限！","")&amp;IF(J23&lt;&gt;S23+T23+U23,"学分计算有误！",""))&amp;IF(K23="","学时没填，影响学分统计！",""))</f>
        <v/>
      </c>
    </row>
    <row r="24" spans="1:26" ht="48.95" customHeight="1">
      <c r="A24" s="259" t="s">
        <v>533</v>
      </c>
      <c r="B24" s="259"/>
      <c r="C24" s="260" t="s">
        <v>46</v>
      </c>
      <c r="D24" s="260"/>
      <c r="E24" s="260"/>
      <c r="F24" s="260"/>
      <c r="G24" s="260"/>
      <c r="H24" s="260"/>
      <c r="I24" s="260"/>
      <c r="J24" s="43">
        <v>3</v>
      </c>
      <c r="K24" s="43">
        <v>48</v>
      </c>
      <c r="L24" s="43">
        <v>32</v>
      </c>
      <c r="M24" s="43"/>
      <c r="N24" s="43">
        <v>16</v>
      </c>
      <c r="O24" s="43"/>
      <c r="P24" s="43">
        <f>IF(O1="理工科",2,1)</f>
        <v>2</v>
      </c>
      <c r="Q24" s="183"/>
      <c r="R24" s="184"/>
      <c r="S24" s="63">
        <f>IF(ISERROR(J24*L24/(L24+M24/2+N24/2)),"",J24*L24/(L24+M24/2+N24/2))</f>
        <v>2.4</v>
      </c>
      <c r="T24" s="63">
        <f>IF(ISERROR(J24*M24/2/(L24+M24/2+N24/2)),"",J24*M24/2/(L24+M24/2+N24/2))</f>
        <v>0</v>
      </c>
      <c r="U24" s="63">
        <f>IF(ISERROR(J24*N24/2/(L24+M24/2+N24/2)),"",J24*N24/2/(L24+M24/2+N24/2))</f>
        <v>0.6</v>
      </c>
      <c r="V24" s="64" t="str">
        <f>IF(O24="√",1,"")</f>
        <v/>
      </c>
      <c r="W24" s="65"/>
      <c r="X24" s="65" t="str">
        <f>IF(J24="","",IF(ISERROR(IF(K24&lt;&gt;L24+M24+N24,"学时计算有误！","")&amp;IF(P24="","请填写修读学期！","")&amp;IF(P24&gt;10,"超出修读期限！","")&amp;IF(J24&lt;&gt;S24+T24+U24,"学分计算有误！","")),"",IF(K24&lt;&gt;L24+M24+N24,"学时计算有误！","")&amp;IF(P24="","请填写修读学期！","")&amp;IF(P24&gt;10,"超出修读期限！","")&amp;IF(J24&lt;&gt;S24+T24+U24,"学分计算有误！",""))&amp;IF(K24="","学时没填，影响学分统计！",""))</f>
        <v/>
      </c>
    </row>
    <row r="25" spans="1:26" ht="37.5" customHeight="1">
      <c r="A25" s="259" t="s">
        <v>534</v>
      </c>
      <c r="B25" s="259"/>
      <c r="C25" s="260" t="s">
        <v>47</v>
      </c>
      <c r="D25" s="260"/>
      <c r="E25" s="260"/>
      <c r="F25" s="260"/>
      <c r="G25" s="260"/>
      <c r="H25" s="260"/>
      <c r="I25" s="260"/>
      <c r="J25" s="43">
        <v>3</v>
      </c>
      <c r="K25" s="43">
        <v>48</v>
      </c>
      <c r="L25" s="43">
        <v>32</v>
      </c>
      <c r="M25" s="43"/>
      <c r="N25" s="43">
        <v>16</v>
      </c>
      <c r="O25" s="43"/>
      <c r="P25" s="43">
        <f>IF(O1="理工科",1,2)</f>
        <v>1</v>
      </c>
      <c r="Q25" s="183"/>
      <c r="R25" s="184"/>
      <c r="S25" s="63">
        <f>IF(ISERROR(J25*L25/(L25+M25/2+N25/2)),"",J25*L25/(L25+M25/2+N25/2))</f>
        <v>2.4</v>
      </c>
      <c r="T25" s="63">
        <f>IF(ISERROR(J25*M25/2/(L25+M25/2+N25/2)),"",J25*M25/2/(L25+M25/2+N25/2))</f>
        <v>0</v>
      </c>
      <c r="U25" s="63">
        <f>IF(ISERROR(J25*N25/2/(L25+M25/2+N25/2)),"",J25*N25/2/(L25+M25/2+N25/2))</f>
        <v>0.6</v>
      </c>
      <c r="V25" s="64" t="str">
        <f>IF(O25="√",1,"")</f>
        <v/>
      </c>
      <c r="W25" s="65"/>
      <c r="X25" s="65" t="str">
        <f>IF(J25="","",IF(ISERROR(IF(K25&lt;&gt;L25+M25+N25,"学时计算有误！","")&amp;IF(P25="","请填写修读学期！","")&amp;IF(P25&gt;10,"超出修读期限！","")&amp;IF(J25&lt;&gt;S25+T25+U25,"学分计算有误！","")),"",IF(K25&lt;&gt;L25+M25+N25,"学时计算有误！","")&amp;IF(P25="","请填写修读学期！","")&amp;IF(P25&gt;10,"超出修读期限！","")&amp;IF(J25&lt;&gt;S25+T25+U25,"学分计算有误！",""))&amp;IF(K25="","学时没填，影响学分统计！",""))</f>
        <v/>
      </c>
    </row>
    <row r="26" spans="1:26" ht="35.1" customHeight="1">
      <c r="A26" s="259" t="s">
        <v>535</v>
      </c>
      <c r="B26" s="259"/>
      <c r="C26" s="260" t="s">
        <v>48</v>
      </c>
      <c r="D26" s="260"/>
      <c r="E26" s="260"/>
      <c r="F26" s="260"/>
      <c r="G26" s="260"/>
      <c r="H26" s="260"/>
      <c r="I26" s="260"/>
      <c r="J26" s="43">
        <v>2</v>
      </c>
      <c r="K26" s="43">
        <v>32</v>
      </c>
      <c r="L26" s="43">
        <v>28</v>
      </c>
      <c r="M26" s="43"/>
      <c r="N26" s="43">
        <v>4</v>
      </c>
      <c r="O26" s="43"/>
      <c r="P26" s="43">
        <f>IF(O1="理工科",2,1)</f>
        <v>2</v>
      </c>
      <c r="Q26" s="183"/>
      <c r="R26" s="185"/>
      <c r="S26" s="63">
        <f>IF(ISERROR(J26*L26/(L26+M26/2+N26/2)),"",J26*L26/(L26+M26/2+N26/2))</f>
        <v>1.8666666666666667</v>
      </c>
      <c r="T26" s="63">
        <f>IF(ISERROR(J26*M26/2/(L26+M26/2+N26/2)),"",J26*M26/2/(L26+M26/2+N26/2))</f>
        <v>0</v>
      </c>
      <c r="U26" s="63">
        <f>IF(ISERROR(J26*N26/2/(L26+M26/2+N26/2)),"",J26*N26/2/(L26+M26/2+N26/2))</f>
        <v>0.13333333333333333</v>
      </c>
      <c r="V26" s="64" t="str">
        <f>IF(O26="√",1,"")</f>
        <v/>
      </c>
      <c r="W26" s="65"/>
      <c r="X26" s="65" t="str">
        <f>IF(J26="","",IF(ISERROR(IF(K26&lt;&gt;L26+M26+N26,"学时计算有误！","")&amp;IF(P26="","请填写修读学期！","")&amp;IF(P26&gt;10,"超出修读期限！","")&amp;IF(J26&lt;&gt;S26+T26+U26,"学分计算有误！","")),"",IF(K26&lt;&gt;L26+M26+N26,"学时计算有误！","")&amp;IF(P26="","请填写修读学期！","")&amp;IF(P26&gt;10,"超出修读期限！","")&amp;IF(J26&lt;&gt;S26+T26+U26,"学分计算有误！",""))&amp;IF(K26="","学时没填，影响学分统计！",""))</f>
        <v/>
      </c>
    </row>
    <row r="27" spans="1:26" ht="60" customHeight="1">
      <c r="A27" s="259" t="s">
        <v>536</v>
      </c>
      <c r="B27" s="259"/>
      <c r="C27" s="260" t="s">
        <v>49</v>
      </c>
      <c r="D27" s="260"/>
      <c r="E27" s="260"/>
      <c r="F27" s="260"/>
      <c r="G27" s="260"/>
      <c r="H27" s="260"/>
      <c r="I27" s="260"/>
      <c r="J27" s="43">
        <v>4</v>
      </c>
      <c r="K27" s="43">
        <v>64</v>
      </c>
      <c r="L27" s="43">
        <v>48</v>
      </c>
      <c r="M27" s="43"/>
      <c r="N27" s="43">
        <v>16</v>
      </c>
      <c r="O27" s="43" t="s">
        <v>50</v>
      </c>
      <c r="P27" s="43">
        <f>IF(O1="理工科",4,3)</f>
        <v>4</v>
      </c>
      <c r="Q27" s="183"/>
      <c r="R27" s="185"/>
      <c r="S27" s="63">
        <f>IF(ISERROR(J27*L27/(L27+M27/2+N27/2)),"",J27*L27/(L27+M27/2+N27/2))</f>
        <v>3.4285714285714284</v>
      </c>
      <c r="T27" s="63">
        <f>IF(ISERROR(J27*M27/2/(L27+M27/2+N27/2)),"",J27*M27/2/(L27+M27/2+N27/2))</f>
        <v>0</v>
      </c>
      <c r="U27" s="63">
        <f>IF(ISERROR(J27*N27/2/(L27+M27/2+N27/2)),"",J27*N27/2/(L27+M27/2+N27/2))</f>
        <v>0.5714285714285714</v>
      </c>
      <c r="V27" s="64">
        <f>IF(O27="√",1,"")</f>
        <v>1</v>
      </c>
      <c r="W27" s="65"/>
      <c r="X27" s="65" t="str">
        <f t="shared" ref="X27:X39" si="0">IF(J27="","",IF(ISERROR(IF(K27&lt;&gt;L27+M27+N27,"学时计算有误！","")&amp;IF(P27="","请填写修读学期！","")&amp;IF(P27&gt;10,"超出修读期限！","")&amp;IF(J27&lt;&gt;S27+T27+U27,"学分计算有误！","")),"",IF(K27&lt;&gt;L27+M27+N27,"学时计算有误！","")&amp;IF(P27="","请填写修读学期！","")&amp;IF(P27&gt;10,"超出修读期限！","")&amp;IF(J27&lt;&gt;S27+T27+U27,"学分计算有误！",""))&amp;IF(K27="","学时没填，影响学分统计！",""))</f>
        <v/>
      </c>
    </row>
    <row r="28" spans="1:26" ht="24.95" customHeight="1">
      <c r="A28" s="259" t="s">
        <v>537</v>
      </c>
      <c r="B28" s="259"/>
      <c r="C28" s="260" t="s">
        <v>51</v>
      </c>
      <c r="D28" s="260"/>
      <c r="E28" s="260"/>
      <c r="F28" s="260"/>
      <c r="G28" s="260"/>
      <c r="H28" s="260"/>
      <c r="I28" s="260"/>
      <c r="J28" s="43">
        <f>IF(I1="外国语学院",IF(C1="日语",3,""),3)</f>
        <v>3</v>
      </c>
      <c r="K28" s="43">
        <f>IF(I1="外国语学院",IF(C1="日语",48,""),48)</f>
        <v>48</v>
      </c>
      <c r="L28" s="43">
        <f>IF(I1="外国语学院",IF(C1="日语",48,""),48)</f>
        <v>48</v>
      </c>
      <c r="M28" s="173"/>
      <c r="N28" s="173"/>
      <c r="O28" s="44" t="str">
        <f>IF(I1="外国语学院",IF(C1="日语","√",""),"√")</f>
        <v>√</v>
      </c>
      <c r="P28" s="43">
        <f>IF(I1="外国语学院",IF(C1="日语",1,""),1)</f>
        <v>1</v>
      </c>
      <c r="Q28" s="183"/>
      <c r="R28" s="184"/>
      <c r="S28" s="63">
        <f t="shared" ref="S28:S39" si="1">IF(ISERROR(J28*L28/(L28+M28/2+N28/2)),"",J28*L28/(L28+M28/2+N28/2))</f>
        <v>3</v>
      </c>
      <c r="T28" s="63">
        <f t="shared" ref="T28:T39" si="2">IF(ISERROR(J28*M28/2/(L28+M28/2+N28/2)),"",J28*M28/2/(L28+M28/2+N28/2))</f>
        <v>0</v>
      </c>
      <c r="U28" s="63">
        <f t="shared" ref="U28:U39" si="3">IF(ISERROR(J28*N28/2/(L28+M28/2+N28/2)),"",J28*N28/2/(L28+M28/2+N28/2))</f>
        <v>0</v>
      </c>
      <c r="V28" s="64">
        <f t="shared" ref="V28:V39" si="4">IF(O28="√",1,"")</f>
        <v>1</v>
      </c>
      <c r="W28" s="65"/>
      <c r="X28" s="65" t="str">
        <f t="shared" si="0"/>
        <v/>
      </c>
    </row>
    <row r="29" spans="1:26" ht="24.95" customHeight="1">
      <c r="A29" s="259" t="s">
        <v>538</v>
      </c>
      <c r="B29" s="259"/>
      <c r="C29" s="260" t="s">
        <v>52</v>
      </c>
      <c r="D29" s="260"/>
      <c r="E29" s="260"/>
      <c r="F29" s="260"/>
      <c r="G29" s="260"/>
      <c r="H29" s="260"/>
      <c r="I29" s="260"/>
      <c r="J29" s="43">
        <f>IF(I1="外国语学院",IF(C1="日语",3,""),3)</f>
        <v>3</v>
      </c>
      <c r="K29" s="43">
        <f>IF(I1="外国语学院",IF(C1="日语",56,""),56)</f>
        <v>56</v>
      </c>
      <c r="L29" s="43">
        <f>IF(I1="外国语学院",IF(C1="日语",48,""),48)</f>
        <v>48</v>
      </c>
      <c r="M29" s="173"/>
      <c r="N29" s="43">
        <f>IF(I1="外国语学院",IF(C1="日语",8,""),8)</f>
        <v>8</v>
      </c>
      <c r="O29" s="44" t="str">
        <f>IF(I1="外国语学院",IF(C1="日语","√",""),"√")</f>
        <v>√</v>
      </c>
      <c r="P29" s="43">
        <f>IF(I1="外国语学院",IF(C1="日语",2,""),2)</f>
        <v>2</v>
      </c>
      <c r="Q29" s="183"/>
      <c r="R29" s="184"/>
      <c r="S29" s="63">
        <f t="shared" si="1"/>
        <v>2.7692307692307692</v>
      </c>
      <c r="T29" s="63">
        <f t="shared" si="2"/>
        <v>0</v>
      </c>
      <c r="U29" s="63">
        <f t="shared" si="3"/>
        <v>0.23076923076923078</v>
      </c>
      <c r="V29" s="64">
        <f t="shared" si="4"/>
        <v>1</v>
      </c>
      <c r="W29" s="65"/>
      <c r="X29" s="65" t="str">
        <f t="shared" si="0"/>
        <v/>
      </c>
    </row>
    <row r="30" spans="1:26" ht="24.95" customHeight="1">
      <c r="A30" s="259" t="s">
        <v>539</v>
      </c>
      <c r="B30" s="259"/>
      <c r="C30" s="260" t="s">
        <v>53</v>
      </c>
      <c r="D30" s="260"/>
      <c r="E30" s="260"/>
      <c r="F30" s="260"/>
      <c r="G30" s="260"/>
      <c r="H30" s="260"/>
      <c r="I30" s="260"/>
      <c r="J30" s="43">
        <f>IF(I1="外国语学院",IF(C1="日语",3,""),3)</f>
        <v>3</v>
      </c>
      <c r="K30" s="43">
        <f>IF(I1="外国语学院",IF(C1="日语",56,""),56)</f>
        <v>56</v>
      </c>
      <c r="L30" s="43">
        <f>IF(I1="外国语学院",IF(C1="日语",48,""),48)</f>
        <v>48</v>
      </c>
      <c r="M30" s="173"/>
      <c r="N30" s="43">
        <f>IF(I1="外国语学院",IF(C1="日语",8,""),8)</f>
        <v>8</v>
      </c>
      <c r="O30" s="44" t="str">
        <f>IF(I1="外国语学院",IF(C1="日语","√",""),"√")</f>
        <v>√</v>
      </c>
      <c r="P30" s="43">
        <f>IF(I1="外国语学院",IF(C1="日语",3,""),3)</f>
        <v>3</v>
      </c>
      <c r="Q30" s="183"/>
      <c r="R30" s="184"/>
      <c r="S30" s="63">
        <f t="shared" si="1"/>
        <v>2.7692307692307692</v>
      </c>
      <c r="T30" s="63">
        <f t="shared" si="2"/>
        <v>0</v>
      </c>
      <c r="U30" s="63">
        <f t="shared" si="3"/>
        <v>0.23076923076923078</v>
      </c>
      <c r="V30" s="64">
        <f t="shared" si="4"/>
        <v>1</v>
      </c>
      <c r="W30" s="65"/>
      <c r="X30" s="65" t="str">
        <f t="shared" si="0"/>
        <v/>
      </c>
    </row>
    <row r="31" spans="1:26" ht="24" customHeight="1">
      <c r="A31" s="259" t="s">
        <v>540</v>
      </c>
      <c r="B31" s="259"/>
      <c r="C31" s="260" t="s">
        <v>54</v>
      </c>
      <c r="D31" s="260"/>
      <c r="E31" s="260"/>
      <c r="F31" s="260"/>
      <c r="G31" s="260"/>
      <c r="H31" s="260"/>
      <c r="I31" s="260"/>
      <c r="J31" s="43">
        <f>IF(I1="外国语学院",IF(C1="日语",3,""),3)</f>
        <v>3</v>
      </c>
      <c r="K31" s="43">
        <f>IF(I1="外国语学院",IF(C1="日语",48,""),48)</f>
        <v>48</v>
      </c>
      <c r="L31" s="43">
        <f>IF(I1="外国语学院",IF(C1="日语",48,""),48)</f>
        <v>48</v>
      </c>
      <c r="M31" s="173"/>
      <c r="N31" s="173"/>
      <c r="O31" s="44" t="str">
        <f>IF(I1="外国语学院",IF(C1="日语","√",""),"√")</f>
        <v>√</v>
      </c>
      <c r="P31" s="43">
        <f>IF(I1="外国语学院",IF(C1="日语",4,""),4)</f>
        <v>4</v>
      </c>
      <c r="Q31" s="183"/>
      <c r="R31" s="184"/>
      <c r="S31" s="63">
        <f t="shared" si="1"/>
        <v>3</v>
      </c>
      <c r="T31" s="63">
        <f t="shared" si="2"/>
        <v>0</v>
      </c>
      <c r="U31" s="63">
        <f t="shared" si="3"/>
        <v>0</v>
      </c>
      <c r="V31" s="64">
        <f t="shared" si="4"/>
        <v>1</v>
      </c>
      <c r="W31" s="65"/>
      <c r="X31" s="65" t="str">
        <f t="shared" si="0"/>
        <v/>
      </c>
    </row>
    <row r="32" spans="1:26" ht="26.1" customHeight="1">
      <c r="A32" s="259" t="s">
        <v>541</v>
      </c>
      <c r="B32" s="259"/>
      <c r="C32" s="260" t="s">
        <v>55</v>
      </c>
      <c r="D32" s="260"/>
      <c r="E32" s="260"/>
      <c r="F32" s="260"/>
      <c r="G32" s="260"/>
      <c r="H32" s="260"/>
      <c r="I32" s="260"/>
      <c r="J32" s="43">
        <f>IF(C1="社会体育指导与管理","",1)</f>
        <v>1</v>
      </c>
      <c r="K32" s="43">
        <f>IF(C1="社会体育指导与管理","",36)</f>
        <v>36</v>
      </c>
      <c r="L32" s="43"/>
      <c r="M32" s="173"/>
      <c r="N32" s="43">
        <f>IF(C1="社会体育指导与管理","",36)</f>
        <v>36</v>
      </c>
      <c r="O32" s="44" t="str">
        <f>IF(C1="社会体育指导与管理","","√")</f>
        <v>√</v>
      </c>
      <c r="P32" s="43">
        <f>IF(C1="社会体育指导与管理","",1)</f>
        <v>1</v>
      </c>
      <c r="Q32" s="183"/>
      <c r="R32" s="184"/>
      <c r="S32" s="63">
        <f t="shared" si="1"/>
        <v>0</v>
      </c>
      <c r="T32" s="63">
        <f t="shared" si="2"/>
        <v>0</v>
      </c>
      <c r="U32" s="63">
        <f t="shared" si="3"/>
        <v>1</v>
      </c>
      <c r="V32" s="64">
        <f t="shared" si="4"/>
        <v>1</v>
      </c>
      <c r="W32" s="65"/>
      <c r="X32" s="65" t="str">
        <f t="shared" si="0"/>
        <v/>
      </c>
    </row>
    <row r="33" spans="1:24" ht="27" customHeight="1">
      <c r="A33" s="259" t="s">
        <v>542</v>
      </c>
      <c r="B33" s="259"/>
      <c r="C33" s="260" t="s">
        <v>56</v>
      </c>
      <c r="D33" s="260"/>
      <c r="E33" s="260"/>
      <c r="F33" s="260"/>
      <c r="G33" s="260"/>
      <c r="H33" s="260"/>
      <c r="I33" s="260"/>
      <c r="J33" s="43">
        <f>IF(C1="社会体育指导与管理","",1)</f>
        <v>1</v>
      </c>
      <c r="K33" s="43">
        <f>IF(C1="社会体育指导与管理","",36)</f>
        <v>36</v>
      </c>
      <c r="L33" s="43"/>
      <c r="M33" s="173"/>
      <c r="N33" s="43">
        <f>IF(C1="社会体育指导与管理","",36)</f>
        <v>36</v>
      </c>
      <c r="O33" s="44" t="str">
        <f>IF(C1="社会体育指导与管理","","√")</f>
        <v>√</v>
      </c>
      <c r="P33" s="43">
        <f>IF(C1="社会体育指导与管理","",2)</f>
        <v>2</v>
      </c>
      <c r="Q33" s="183"/>
      <c r="R33" s="184"/>
      <c r="S33" s="63">
        <f t="shared" si="1"/>
        <v>0</v>
      </c>
      <c r="T33" s="63">
        <f t="shared" si="2"/>
        <v>0</v>
      </c>
      <c r="U33" s="63">
        <f t="shared" si="3"/>
        <v>1</v>
      </c>
      <c r="V33" s="64">
        <f t="shared" si="4"/>
        <v>1</v>
      </c>
      <c r="W33" s="65"/>
      <c r="X33" s="65" t="str">
        <f t="shared" si="0"/>
        <v/>
      </c>
    </row>
    <row r="34" spans="1:24" ht="27.75" customHeight="1">
      <c r="A34" s="259" t="s">
        <v>543</v>
      </c>
      <c r="B34" s="259"/>
      <c r="C34" s="260" t="s">
        <v>57</v>
      </c>
      <c r="D34" s="260"/>
      <c r="E34" s="260"/>
      <c r="F34" s="260"/>
      <c r="G34" s="260"/>
      <c r="H34" s="260"/>
      <c r="I34" s="260"/>
      <c r="J34" s="43">
        <f>IF(C1="社会体育指导与管理","",1)</f>
        <v>1</v>
      </c>
      <c r="K34" s="43">
        <f>IF(C1="社会体育指导与管理","",36)</f>
        <v>36</v>
      </c>
      <c r="L34" s="43"/>
      <c r="M34" s="173"/>
      <c r="N34" s="43">
        <f>IF(C1="社会体育指导与管理","",36)</f>
        <v>36</v>
      </c>
      <c r="O34" s="44" t="str">
        <f>IF(C1="社会体育指导与管理","","√")</f>
        <v>√</v>
      </c>
      <c r="P34" s="43">
        <f>IF(C1="社会体育指导与管理","",3)</f>
        <v>3</v>
      </c>
      <c r="Q34" s="183"/>
      <c r="R34" s="184"/>
      <c r="S34" s="63">
        <f t="shared" si="1"/>
        <v>0</v>
      </c>
      <c r="T34" s="63">
        <f t="shared" si="2"/>
        <v>0</v>
      </c>
      <c r="U34" s="63">
        <f t="shared" si="3"/>
        <v>1</v>
      </c>
      <c r="V34" s="64">
        <f t="shared" si="4"/>
        <v>1</v>
      </c>
      <c r="W34" s="65"/>
      <c r="X34" s="65" t="str">
        <f t="shared" si="0"/>
        <v/>
      </c>
    </row>
    <row r="35" spans="1:24" ht="25.5" customHeight="1">
      <c r="A35" s="259" t="s">
        <v>544</v>
      </c>
      <c r="B35" s="259"/>
      <c r="C35" s="260" t="s">
        <v>58</v>
      </c>
      <c r="D35" s="260"/>
      <c r="E35" s="260"/>
      <c r="F35" s="260"/>
      <c r="G35" s="260"/>
      <c r="H35" s="260"/>
      <c r="I35" s="260"/>
      <c r="J35" s="43">
        <f>IF(C1="社会体育指导与管理","",1)</f>
        <v>1</v>
      </c>
      <c r="K35" s="43">
        <f>IF(C1="社会体育指导与管理","",36)</f>
        <v>36</v>
      </c>
      <c r="L35" s="43"/>
      <c r="M35" s="173"/>
      <c r="N35" s="43">
        <f>IF(C1="社会体育指导与管理","",36)</f>
        <v>36</v>
      </c>
      <c r="O35" s="44" t="str">
        <f>IF(C1="社会体育指导与管理","","√")</f>
        <v>√</v>
      </c>
      <c r="P35" s="43">
        <f>IF(C1="社会体育指导与管理","",4)</f>
        <v>4</v>
      </c>
      <c r="Q35" s="183"/>
      <c r="R35" s="184"/>
      <c r="S35" s="63">
        <f t="shared" si="1"/>
        <v>0</v>
      </c>
      <c r="T35" s="63">
        <f t="shared" si="2"/>
        <v>0</v>
      </c>
      <c r="U35" s="63">
        <f t="shared" si="3"/>
        <v>1</v>
      </c>
      <c r="V35" s="64">
        <f t="shared" si="4"/>
        <v>1</v>
      </c>
      <c r="W35" s="65"/>
      <c r="X35" s="65" t="str">
        <f t="shared" si="0"/>
        <v/>
      </c>
    </row>
    <row r="36" spans="1:24" ht="27.75" customHeight="1">
      <c r="A36" s="259" t="s">
        <v>545</v>
      </c>
      <c r="B36" s="259"/>
      <c r="C36" s="260" t="s">
        <v>59</v>
      </c>
      <c r="D36" s="260"/>
      <c r="E36" s="260"/>
      <c r="F36" s="260"/>
      <c r="G36" s="260"/>
      <c r="H36" s="260"/>
      <c r="I36" s="260"/>
      <c r="J36" s="43">
        <v>2</v>
      </c>
      <c r="K36" s="43">
        <v>36</v>
      </c>
      <c r="L36" s="43">
        <v>36</v>
      </c>
      <c r="M36" s="173"/>
      <c r="N36" s="43"/>
      <c r="O36" s="44" t="s">
        <v>50</v>
      </c>
      <c r="P36" s="43">
        <v>5</v>
      </c>
      <c r="Q36" s="186" t="s">
        <v>60</v>
      </c>
      <c r="R36" s="184"/>
      <c r="S36" s="63">
        <f t="shared" si="1"/>
        <v>2</v>
      </c>
      <c r="T36" s="63">
        <f t="shared" si="2"/>
        <v>0</v>
      </c>
      <c r="U36" s="63">
        <f t="shared" si="3"/>
        <v>0</v>
      </c>
      <c r="V36" s="64">
        <f t="shared" si="4"/>
        <v>1</v>
      </c>
      <c r="W36" s="65"/>
      <c r="X36" s="65" t="str">
        <f t="shared" si="0"/>
        <v/>
      </c>
    </row>
    <row r="37" spans="1:24" ht="24.95" hidden="1" customHeight="1">
      <c r="A37" s="263"/>
      <c r="B37" s="263"/>
      <c r="C37" s="264"/>
      <c r="D37" s="264"/>
      <c r="E37" s="264"/>
      <c r="F37" s="264"/>
      <c r="G37" s="264"/>
      <c r="H37" s="264"/>
      <c r="I37" s="264"/>
      <c r="J37" s="46"/>
      <c r="K37" s="46"/>
      <c r="L37" s="46"/>
      <c r="M37" s="174"/>
      <c r="N37" s="46"/>
      <c r="O37" s="48"/>
      <c r="P37" s="46"/>
      <c r="Q37" s="48"/>
      <c r="R37" s="72"/>
      <c r="S37" s="71" t="str">
        <f t="shared" si="1"/>
        <v/>
      </c>
      <c r="T37" s="71" t="str">
        <f t="shared" si="2"/>
        <v/>
      </c>
      <c r="U37" s="71" t="str">
        <f t="shared" si="3"/>
        <v/>
      </c>
      <c r="V37" s="72" t="str">
        <f t="shared" si="4"/>
        <v/>
      </c>
      <c r="W37" s="73"/>
      <c r="X37" s="74" t="str">
        <f t="shared" si="0"/>
        <v/>
      </c>
    </row>
    <row r="38" spans="1:24" ht="24.95" hidden="1" customHeight="1">
      <c r="A38" s="263"/>
      <c r="B38" s="263"/>
      <c r="C38" s="264"/>
      <c r="D38" s="264"/>
      <c r="E38" s="264"/>
      <c r="F38" s="264"/>
      <c r="G38" s="264"/>
      <c r="H38" s="264"/>
      <c r="I38" s="264"/>
      <c r="J38" s="46"/>
      <c r="K38" s="46"/>
      <c r="L38" s="46"/>
      <c r="M38" s="174"/>
      <c r="N38" s="46"/>
      <c r="O38" s="48"/>
      <c r="P38" s="46"/>
      <c r="Q38" s="48"/>
      <c r="R38" s="72"/>
      <c r="S38" s="71" t="str">
        <f t="shared" si="1"/>
        <v/>
      </c>
      <c r="T38" s="71" t="str">
        <f t="shared" si="2"/>
        <v/>
      </c>
      <c r="U38" s="71" t="str">
        <f t="shared" si="3"/>
        <v/>
      </c>
      <c r="V38" s="72" t="str">
        <f t="shared" si="4"/>
        <v/>
      </c>
      <c r="W38" s="73"/>
      <c r="X38" s="74" t="str">
        <f t="shared" si="0"/>
        <v/>
      </c>
    </row>
    <row r="39" spans="1:24" ht="24.95" hidden="1" customHeight="1">
      <c r="A39" s="263"/>
      <c r="B39" s="263"/>
      <c r="C39" s="264"/>
      <c r="D39" s="264"/>
      <c r="E39" s="264"/>
      <c r="F39" s="264"/>
      <c r="G39" s="264"/>
      <c r="H39" s="264"/>
      <c r="I39" s="264"/>
      <c r="J39" s="46"/>
      <c r="K39" s="46"/>
      <c r="L39" s="46"/>
      <c r="M39" s="174"/>
      <c r="N39" s="46"/>
      <c r="O39" s="48"/>
      <c r="P39" s="46"/>
      <c r="Q39" s="48"/>
      <c r="R39" s="72"/>
      <c r="S39" s="75" t="str">
        <f t="shared" si="1"/>
        <v/>
      </c>
      <c r="T39" s="75" t="str">
        <f t="shared" si="2"/>
        <v/>
      </c>
      <c r="U39" s="75" t="str">
        <f t="shared" si="3"/>
        <v/>
      </c>
      <c r="V39" s="76" t="str">
        <f t="shared" si="4"/>
        <v/>
      </c>
      <c r="W39" s="77"/>
      <c r="X39" s="78" t="str">
        <f t="shared" si="0"/>
        <v/>
      </c>
    </row>
    <row r="40" spans="1:24" ht="24.95" customHeight="1">
      <c r="A40" s="262" t="s">
        <v>61</v>
      </c>
      <c r="B40" s="262" t="s">
        <v>61</v>
      </c>
      <c r="C40" s="270"/>
      <c r="D40" s="270"/>
      <c r="E40" s="270"/>
      <c r="F40" s="270"/>
      <c r="G40" s="270"/>
      <c r="H40" s="270"/>
      <c r="I40" s="270"/>
      <c r="J40" s="49">
        <f>SUM(J23:J39)</f>
        <v>32</v>
      </c>
      <c r="K40" s="49">
        <f>SUM(K23:K39)</f>
        <v>612</v>
      </c>
      <c r="L40" s="49">
        <f>SUM(L23:L39)</f>
        <v>400</v>
      </c>
      <c r="M40" s="49">
        <f>SUM(M23:M39)</f>
        <v>0</v>
      </c>
      <c r="N40" s="49">
        <f>SUM(N23:N39)</f>
        <v>212</v>
      </c>
      <c r="O40" s="35">
        <f>COUNTIF(O23:O39,"√")</f>
        <v>10</v>
      </c>
      <c r="P40" s="49"/>
      <c r="Q40" s="52"/>
      <c r="R40" s="79"/>
      <c r="S40" s="80">
        <f>SUM(S23:S39)</f>
        <v>25.633699633699635</v>
      </c>
      <c r="T40" s="80">
        <f>SUM(T23:T39)</f>
        <v>0</v>
      </c>
      <c r="U40" s="80">
        <f>SUM(U23:U39)</f>
        <v>6.3663003663003668</v>
      </c>
      <c r="V40" s="80"/>
      <c r="W40" s="81"/>
      <c r="X40" s="65" t="str">
        <f>IF(J40&lt;&gt;S40+T40+U40,"学分计算有误！","")</f>
        <v/>
      </c>
    </row>
    <row r="41" spans="1:24" ht="32.25" customHeight="1">
      <c r="A41" s="259" t="s">
        <v>546</v>
      </c>
      <c r="B41" s="259"/>
      <c r="C41" s="271" t="s">
        <v>62</v>
      </c>
      <c r="D41" s="271"/>
      <c r="E41" s="271"/>
      <c r="F41" s="271"/>
      <c r="G41" s="271"/>
      <c r="H41" s="271"/>
      <c r="I41" s="271"/>
      <c r="J41" s="175">
        <v>2</v>
      </c>
      <c r="K41" s="175">
        <v>2</v>
      </c>
      <c r="L41" s="175"/>
      <c r="M41" s="176"/>
      <c r="N41" s="175"/>
      <c r="O41" s="177" t="s">
        <v>50</v>
      </c>
      <c r="P41" s="175">
        <v>1</v>
      </c>
      <c r="Q41" s="186"/>
      <c r="R41" s="184"/>
      <c r="S41" s="64"/>
      <c r="T41" s="64"/>
      <c r="U41" s="64"/>
      <c r="V41" s="64">
        <f>IF(O41="√",1,"")</f>
        <v>1</v>
      </c>
      <c r="W41" s="65"/>
      <c r="X41" s="65" t="str">
        <f>IF(C41&lt;&gt;"",IF(P41="","请填写修读学期！","")&amp;IF(P41&gt;10,"超出修读期限！",""),"")</f>
        <v/>
      </c>
    </row>
    <row r="42" spans="1:24" ht="58.5" customHeight="1">
      <c r="A42" s="259" t="s">
        <v>547</v>
      </c>
      <c r="B42" s="259"/>
      <c r="C42" s="272" t="s">
        <v>662</v>
      </c>
      <c r="D42" s="272"/>
      <c r="E42" s="272"/>
      <c r="F42" s="272"/>
      <c r="G42" s="272"/>
      <c r="H42" s="272"/>
      <c r="I42" s="272"/>
      <c r="J42" s="175">
        <v>2</v>
      </c>
      <c r="K42" s="175">
        <v>3</v>
      </c>
      <c r="L42" s="175"/>
      <c r="M42" s="175"/>
      <c r="N42" s="175"/>
      <c r="O42" s="177"/>
      <c r="P42" s="175">
        <f>IF(O1="理工科",4,3)</f>
        <v>4</v>
      </c>
      <c r="Q42" s="186" t="s">
        <v>64</v>
      </c>
      <c r="R42" s="184"/>
      <c r="S42" s="64"/>
      <c r="T42" s="64"/>
      <c r="U42" s="64"/>
      <c r="V42" s="64" t="str">
        <f>IF(O42="√",1,"")</f>
        <v/>
      </c>
      <c r="W42" s="65"/>
      <c r="X42" s="65" t="str">
        <f>IF(C42&lt;&gt;"",IF(P42="","请填写修读学期！","")&amp;IF(P42&gt;10,"超出修读期限！",""),"")</f>
        <v/>
      </c>
    </row>
    <row r="43" spans="1:24" ht="24.95" hidden="1" customHeight="1">
      <c r="A43" s="36"/>
      <c r="B43" s="40"/>
      <c r="C43" s="273" t="s">
        <v>663</v>
      </c>
      <c r="D43" s="274"/>
      <c r="E43" s="274"/>
      <c r="F43" s="274"/>
      <c r="G43" s="274"/>
      <c r="H43" s="274"/>
      <c r="I43" s="275"/>
      <c r="J43" s="46"/>
      <c r="K43" s="46"/>
      <c r="L43" s="46"/>
      <c r="M43" s="46"/>
      <c r="N43" s="46"/>
      <c r="O43" s="48"/>
      <c r="P43" s="46"/>
      <c r="Q43" s="48"/>
      <c r="R43" s="72"/>
      <c r="S43" s="72"/>
      <c r="T43" s="72"/>
      <c r="U43" s="72"/>
      <c r="V43" s="72" t="str">
        <f>IF(O43="√",1,"")</f>
        <v/>
      </c>
      <c r="W43" s="73"/>
      <c r="X43" s="74" t="str">
        <f>IF(C43&lt;&gt;"",IF(P43="","请填写修读学期！","")&amp;IF(P43&gt;10,"超出修读期限！",""),"")</f>
        <v>请填写修读学期！</v>
      </c>
    </row>
    <row r="44" spans="1:24" ht="24.95" hidden="1" customHeight="1">
      <c r="A44" s="36"/>
      <c r="B44" s="40"/>
      <c r="C44" s="272" t="s">
        <v>662</v>
      </c>
      <c r="D44" s="272"/>
      <c r="E44" s="272"/>
      <c r="F44" s="272"/>
      <c r="G44" s="272"/>
      <c r="H44" s="272"/>
      <c r="I44" s="272"/>
      <c r="J44" s="46"/>
      <c r="K44" s="46"/>
      <c r="L44" s="46"/>
      <c r="M44" s="46"/>
      <c r="N44" s="46"/>
      <c r="O44" s="48"/>
      <c r="P44" s="46"/>
      <c r="Q44" s="48"/>
      <c r="R44" s="72"/>
      <c r="S44" s="72"/>
      <c r="T44" s="72"/>
      <c r="U44" s="72"/>
      <c r="V44" s="72" t="str">
        <f>IF(O44="√",1,"")</f>
        <v/>
      </c>
      <c r="W44" s="73"/>
      <c r="X44" s="74" t="str">
        <f>IF(C44&lt;&gt;"",IF(P44="","请填写修读学期！","")&amp;IF(P44&gt;10,"超出修读期限！",""),"")</f>
        <v>请填写修读学期！</v>
      </c>
    </row>
    <row r="45" spans="1:24" ht="24.95" customHeight="1">
      <c r="A45" s="36"/>
      <c r="B45" s="40"/>
      <c r="C45" s="273" t="s">
        <v>663</v>
      </c>
      <c r="D45" s="274"/>
      <c r="E45" s="274"/>
      <c r="F45" s="274"/>
      <c r="G45" s="274"/>
      <c r="H45" s="274"/>
      <c r="I45" s="275"/>
      <c r="J45" s="46">
        <v>1</v>
      </c>
      <c r="K45" s="46"/>
      <c r="L45" s="46"/>
      <c r="M45" s="46"/>
      <c r="N45" s="46"/>
      <c r="O45" s="48"/>
      <c r="P45" s="238" t="s">
        <v>661</v>
      </c>
      <c r="Q45" s="48"/>
      <c r="R45" s="72"/>
      <c r="S45" s="76"/>
      <c r="T45" s="76"/>
      <c r="U45" s="63">
        <v>1</v>
      </c>
      <c r="V45" s="76" t="str">
        <f>IF(O45="√",1,"")</f>
        <v/>
      </c>
      <c r="W45" s="77"/>
      <c r="X45" s="78"/>
    </row>
    <row r="46" spans="1:24" ht="24.95" customHeight="1">
      <c r="A46" s="262" t="s">
        <v>61</v>
      </c>
      <c r="B46" s="262"/>
      <c r="C46" s="270"/>
      <c r="D46" s="270"/>
      <c r="E46" s="270"/>
      <c r="F46" s="270"/>
      <c r="G46" s="270"/>
      <c r="H46" s="270"/>
      <c r="I46" s="270"/>
      <c r="J46" s="35">
        <f>SUM(J41:J45)</f>
        <v>5</v>
      </c>
      <c r="K46" s="49">
        <f>SUM(K41:K45)</f>
        <v>5</v>
      </c>
      <c r="L46" s="49"/>
      <c r="M46" s="49"/>
      <c r="N46" s="49"/>
      <c r="O46" s="35">
        <f>COUNTIF(O41:O45,"√")</f>
        <v>1</v>
      </c>
      <c r="P46" s="49"/>
      <c r="Q46" s="35"/>
      <c r="R46" s="187"/>
      <c r="S46" s="187"/>
      <c r="T46" s="187"/>
      <c r="U46" s="187"/>
      <c r="V46" s="187"/>
      <c r="W46" s="56"/>
      <c r="X46" s="64"/>
    </row>
    <row r="47" spans="1:24" ht="21.95" customHeight="1">
      <c r="A47" s="265" t="str">
        <f>"    2.选修课（"&amp;SUMIF(R50:R50,"&gt;0",J50:J50)+6&amp;"）学分"</f>
        <v xml:space="preserve">    2.选修课（6）学分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87"/>
      <c r="S47" s="87"/>
      <c r="T47" s="87"/>
      <c r="U47" s="87"/>
      <c r="V47" s="87"/>
      <c r="W47" s="87"/>
      <c r="X47" s="59"/>
    </row>
    <row r="48" spans="1:24" ht="18.75" customHeight="1">
      <c r="A48" s="281" t="s">
        <v>27</v>
      </c>
      <c r="B48" s="283"/>
      <c r="C48" s="281" t="s">
        <v>28</v>
      </c>
      <c r="D48" s="282"/>
      <c r="E48" s="282"/>
      <c r="F48" s="282"/>
      <c r="G48" s="282"/>
      <c r="H48" s="282"/>
      <c r="I48" s="283"/>
      <c r="J48" s="279" t="s">
        <v>29</v>
      </c>
      <c r="K48" s="266" t="s">
        <v>30</v>
      </c>
      <c r="L48" s="267"/>
      <c r="M48" s="267"/>
      <c r="N48" s="268"/>
      <c r="O48" s="279" t="s">
        <v>31</v>
      </c>
      <c r="P48" s="343" t="s">
        <v>32</v>
      </c>
      <c r="Q48" s="279" t="s">
        <v>33</v>
      </c>
      <c r="R48" s="346" t="s">
        <v>34</v>
      </c>
      <c r="S48" s="352" t="s">
        <v>35</v>
      </c>
      <c r="T48" s="352" t="s">
        <v>36</v>
      </c>
      <c r="U48" s="352" t="s">
        <v>37</v>
      </c>
      <c r="V48" s="352" t="s">
        <v>38</v>
      </c>
      <c r="W48" s="352" t="s">
        <v>39</v>
      </c>
      <c r="X48" s="348" t="s">
        <v>40</v>
      </c>
    </row>
    <row r="49" spans="1:24" ht="59.1" customHeight="1">
      <c r="A49" s="284"/>
      <c r="B49" s="286"/>
      <c r="C49" s="284"/>
      <c r="D49" s="285"/>
      <c r="E49" s="285"/>
      <c r="F49" s="285"/>
      <c r="G49" s="285"/>
      <c r="H49" s="285"/>
      <c r="I49" s="286"/>
      <c r="J49" s="280"/>
      <c r="K49" s="34" t="s">
        <v>41</v>
      </c>
      <c r="L49" s="34" t="s">
        <v>42</v>
      </c>
      <c r="M49" s="34" t="s">
        <v>43</v>
      </c>
      <c r="N49" s="34" t="s">
        <v>44</v>
      </c>
      <c r="O49" s="280"/>
      <c r="P49" s="344"/>
      <c r="Q49" s="280"/>
      <c r="R49" s="346"/>
      <c r="S49" s="353"/>
      <c r="T49" s="353"/>
      <c r="U49" s="353"/>
      <c r="V49" s="353"/>
      <c r="W49" s="353"/>
      <c r="X49" s="348"/>
    </row>
    <row r="50" spans="1:24" ht="51.75" customHeight="1">
      <c r="A50" s="269"/>
      <c r="B50" s="269"/>
      <c r="C50" s="260" t="s">
        <v>65</v>
      </c>
      <c r="D50" s="260"/>
      <c r="E50" s="260"/>
      <c r="F50" s="260"/>
      <c r="G50" s="260"/>
      <c r="H50" s="260"/>
      <c r="I50" s="260"/>
      <c r="J50" s="43">
        <v>6</v>
      </c>
      <c r="K50" s="43">
        <v>96</v>
      </c>
      <c r="L50" s="43"/>
      <c r="M50" s="43"/>
      <c r="N50" s="43"/>
      <c r="O50" s="177"/>
      <c r="P50" s="51" t="s">
        <v>66</v>
      </c>
      <c r="Q50" s="51"/>
      <c r="R50" s="88"/>
      <c r="S50" s="63" t="str">
        <f>IF(ISERROR(J50*L50/(L50+M50/2+N50/2)),"",J50*L50/(L50+M50/2+N50/2))</f>
        <v/>
      </c>
      <c r="T50" s="63" t="str">
        <f>IF(ISERROR(J50*M50/2/(L50+M50/2+N50/2)),"",J50*M50/2/(L50+M50/2+N50/2))</f>
        <v/>
      </c>
      <c r="U50" s="63" t="str">
        <f>IF(ISERROR(J50*N50/2/(L50+M50/2+N50/2)),"",J50*N50/2/(L50+M50/2+N50/2))</f>
        <v/>
      </c>
      <c r="V50" s="150"/>
      <c r="W50" s="64" t="str">
        <f>IF(O50="√",1,"")</f>
        <v/>
      </c>
      <c r="X50" s="65" t="str">
        <f>IF(J50="","",IF(K50="","学时没填，影响学分统计！",""))</f>
        <v/>
      </c>
    </row>
    <row r="51" spans="1:24" ht="24.75" customHeight="1">
      <c r="A51" s="277" t="s">
        <v>61</v>
      </c>
      <c r="B51" s="277"/>
      <c r="C51" s="278"/>
      <c r="D51" s="278"/>
      <c r="E51" s="278"/>
      <c r="F51" s="278"/>
      <c r="G51" s="278"/>
      <c r="H51" s="278"/>
      <c r="I51" s="278"/>
      <c r="J51" s="178">
        <f>SUM(J50:J50)</f>
        <v>6</v>
      </c>
      <c r="K51" s="172"/>
      <c r="L51" s="172"/>
      <c r="M51" s="172"/>
      <c r="N51" s="172"/>
      <c r="O51" s="172"/>
      <c r="P51" s="179"/>
      <c r="Q51" s="172"/>
      <c r="R51" s="188"/>
      <c r="S51" s="188"/>
      <c r="T51" s="188"/>
      <c r="U51" s="188"/>
      <c r="V51" s="188"/>
      <c r="W51" s="188"/>
      <c r="X51" s="65"/>
    </row>
    <row r="52" spans="1:24" ht="21.95" customHeight="1">
      <c r="A52" s="265" t="str">
        <f>"    （二）综合素质培养课程平台（"&amp;J63+J68+SUMIF(R72:R77,"&gt;0",J72:J77)&amp;"学分）"</f>
        <v xml:space="preserve">    （二）综合素质培养课程平台（8.5学分）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90"/>
      <c r="S52" s="90"/>
      <c r="T52" s="90"/>
      <c r="U52" s="90"/>
      <c r="V52" s="90"/>
      <c r="W52" s="90"/>
      <c r="X52" s="59"/>
    </row>
    <row r="53" spans="1:24" ht="21.95" customHeight="1">
      <c r="A53" s="265" t="str">
        <f>"    1.必修课（"&amp;J63+J68&amp;"）学分"</f>
        <v xml:space="preserve">    1.必修课（6.5）学分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60"/>
      <c r="S53" s="60"/>
      <c r="T53" s="60"/>
      <c r="U53" s="60"/>
      <c r="V53" s="60"/>
      <c r="W53" s="60"/>
      <c r="X53" s="59"/>
    </row>
    <row r="54" spans="1:24" ht="18.75" customHeight="1">
      <c r="A54" s="261" t="s">
        <v>27</v>
      </c>
      <c r="B54" s="261"/>
      <c r="C54" s="261" t="s">
        <v>28</v>
      </c>
      <c r="D54" s="261"/>
      <c r="E54" s="261"/>
      <c r="F54" s="261"/>
      <c r="G54" s="261"/>
      <c r="H54" s="261"/>
      <c r="I54" s="261"/>
      <c r="J54" s="261" t="s">
        <v>29</v>
      </c>
      <c r="K54" s="262" t="s">
        <v>30</v>
      </c>
      <c r="L54" s="262"/>
      <c r="M54" s="262"/>
      <c r="N54" s="262"/>
      <c r="O54" s="261" t="s">
        <v>31</v>
      </c>
      <c r="P54" s="342" t="s">
        <v>32</v>
      </c>
      <c r="Q54" s="261" t="s">
        <v>33</v>
      </c>
      <c r="R54" s="346" t="s">
        <v>34</v>
      </c>
      <c r="S54" s="348" t="s">
        <v>35</v>
      </c>
      <c r="T54" s="348" t="s">
        <v>36</v>
      </c>
      <c r="U54" s="348" t="s">
        <v>37</v>
      </c>
      <c r="V54" s="348" t="s">
        <v>38</v>
      </c>
      <c r="W54" s="348" t="s">
        <v>39</v>
      </c>
      <c r="X54" s="348" t="s">
        <v>40</v>
      </c>
    </row>
    <row r="55" spans="1:24" ht="59.1" customHeight="1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34" t="s">
        <v>41</v>
      </c>
      <c r="L55" s="34" t="s">
        <v>42</v>
      </c>
      <c r="M55" s="34" t="s">
        <v>43</v>
      </c>
      <c r="N55" s="34" t="s">
        <v>44</v>
      </c>
      <c r="O55" s="261"/>
      <c r="P55" s="342"/>
      <c r="Q55" s="261"/>
      <c r="R55" s="346"/>
      <c r="S55" s="348"/>
      <c r="T55" s="348"/>
      <c r="U55" s="348"/>
      <c r="V55" s="348"/>
      <c r="W55" s="348"/>
      <c r="X55" s="348"/>
    </row>
    <row r="56" spans="1:24" ht="36" customHeight="1">
      <c r="A56" s="259" t="s">
        <v>548</v>
      </c>
      <c r="B56" s="259"/>
      <c r="C56" s="260" t="s">
        <v>67</v>
      </c>
      <c r="D56" s="260"/>
      <c r="E56" s="260"/>
      <c r="F56" s="260"/>
      <c r="G56" s="260"/>
      <c r="H56" s="260"/>
      <c r="I56" s="260"/>
      <c r="J56" s="54">
        <v>1.5</v>
      </c>
      <c r="K56" s="54">
        <v>32</v>
      </c>
      <c r="L56" s="54">
        <v>16</v>
      </c>
      <c r="M56" s="54"/>
      <c r="N56" s="54">
        <v>16</v>
      </c>
      <c r="O56" s="54"/>
      <c r="P56" s="54">
        <v>2</v>
      </c>
      <c r="Q56" s="183"/>
      <c r="R56" s="184"/>
      <c r="S56" s="63">
        <f t="shared" ref="S56:S62" si="5">IF(ISERROR(J56*L56/(L56+M56/2+N56/2)),"",J56*L56/(L56+M56/2+N56/2))</f>
        <v>1</v>
      </c>
      <c r="T56" s="63">
        <f t="shared" ref="T56:T62" si="6">IF(ISERROR(J56*M56/2/(L56+M56/2+N56/2)),"",J56*M56/2/(L56+M56/2+N56/2))</f>
        <v>0</v>
      </c>
      <c r="U56" s="63">
        <f t="shared" ref="U56:U62" si="7">IF(ISERROR(J56*N56/2/(L56+M56/2+N56/2)),"",J56*N56/2/(L56+M56/2+N56/2))</f>
        <v>0.5</v>
      </c>
      <c r="V56" s="64" t="str">
        <f t="shared" ref="V56:V62" si="8">IF(O56="√",1,"")</f>
        <v/>
      </c>
      <c r="W56" s="65"/>
      <c r="X56" s="65" t="str">
        <f t="shared" ref="X56:X62" si="9">IF(J56="","",IF(ISERROR(IF(K56&lt;&gt;L56+M56+N56,"学时计算有误！","")&amp;IF(P56="","请填写修读学期！","")&amp;IF(P56&gt;10,"超出修读期限！","")&amp;IF(J56&lt;&gt;S56+T56+U56,"学分计算有误！","")),"",IF(K56&lt;&gt;L56+M56+N56,"学时计算有误！","")&amp;IF(P56="","请填写修读学期！","")&amp;IF(P56&gt;10,"超出修读期限！","")&amp;IF(J56&lt;&gt;S56+T56+U56,"学分计算有误！",""))&amp;IF(K56="","学时没填，影响学分统计！",""))</f>
        <v/>
      </c>
    </row>
    <row r="57" spans="1:24" ht="71.099999999999994" customHeight="1">
      <c r="A57" s="259" t="s">
        <v>549</v>
      </c>
      <c r="B57" s="259"/>
      <c r="C57" s="260" t="s">
        <v>68</v>
      </c>
      <c r="D57" s="260"/>
      <c r="E57" s="260"/>
      <c r="F57" s="260"/>
      <c r="G57" s="260"/>
      <c r="H57" s="260"/>
      <c r="I57" s="260"/>
      <c r="J57" s="54">
        <v>1.5</v>
      </c>
      <c r="K57" s="54">
        <v>32</v>
      </c>
      <c r="L57" s="54">
        <v>16</v>
      </c>
      <c r="M57" s="54"/>
      <c r="N57" s="54">
        <v>16</v>
      </c>
      <c r="O57" s="54"/>
      <c r="P57" s="54">
        <v>3</v>
      </c>
      <c r="Q57" s="183"/>
      <c r="R57" s="184"/>
      <c r="S57" s="63">
        <f t="shared" si="5"/>
        <v>1</v>
      </c>
      <c r="T57" s="63">
        <f t="shared" si="6"/>
        <v>0</v>
      </c>
      <c r="U57" s="63">
        <f t="shared" si="7"/>
        <v>0.5</v>
      </c>
      <c r="V57" s="64" t="str">
        <f t="shared" si="8"/>
        <v/>
      </c>
      <c r="W57" s="65"/>
      <c r="X57" s="65" t="str">
        <f t="shared" si="9"/>
        <v/>
      </c>
    </row>
    <row r="58" spans="1:24" ht="71.099999999999994" customHeight="1">
      <c r="A58" s="259" t="s">
        <v>550</v>
      </c>
      <c r="B58" s="259"/>
      <c r="C58" s="260" t="s">
        <v>69</v>
      </c>
      <c r="D58" s="260"/>
      <c r="E58" s="260"/>
      <c r="F58" s="260"/>
      <c r="G58" s="260"/>
      <c r="H58" s="260"/>
      <c r="I58" s="260"/>
      <c r="J58" s="54">
        <v>1</v>
      </c>
      <c r="K58" s="54">
        <v>18</v>
      </c>
      <c r="L58" s="54">
        <v>12</v>
      </c>
      <c r="M58" s="54"/>
      <c r="N58" s="54">
        <v>6</v>
      </c>
      <c r="O58" s="54"/>
      <c r="P58" s="54">
        <v>6</v>
      </c>
      <c r="Q58" s="183"/>
      <c r="R58" s="184"/>
      <c r="S58" s="63">
        <f t="shared" si="5"/>
        <v>0.8</v>
      </c>
      <c r="T58" s="63">
        <f t="shared" si="6"/>
        <v>0</v>
      </c>
      <c r="U58" s="63">
        <f t="shared" si="7"/>
        <v>0.2</v>
      </c>
      <c r="V58" s="64" t="str">
        <f t="shared" si="8"/>
        <v/>
      </c>
      <c r="W58" s="65"/>
      <c r="X58" s="65" t="str">
        <f t="shared" si="9"/>
        <v/>
      </c>
    </row>
    <row r="59" spans="1:24" ht="29.25" customHeight="1">
      <c r="A59" s="259" t="s">
        <v>551</v>
      </c>
      <c r="B59" s="259"/>
      <c r="C59" s="260" t="s">
        <v>70</v>
      </c>
      <c r="D59" s="260"/>
      <c r="E59" s="260"/>
      <c r="F59" s="260"/>
      <c r="G59" s="260"/>
      <c r="H59" s="260"/>
      <c r="I59" s="260"/>
      <c r="J59" s="54">
        <v>0.5</v>
      </c>
      <c r="K59" s="54">
        <v>18</v>
      </c>
      <c r="L59" s="54">
        <v>9</v>
      </c>
      <c r="M59" s="54"/>
      <c r="N59" s="54">
        <v>9</v>
      </c>
      <c r="O59" s="44"/>
      <c r="P59" s="43">
        <f>IF(O1="理工科",3,2)</f>
        <v>3</v>
      </c>
      <c r="Q59" s="183"/>
      <c r="R59" s="184"/>
      <c r="S59" s="63">
        <f t="shared" si="5"/>
        <v>0.33333333333333331</v>
      </c>
      <c r="T59" s="63">
        <f t="shared" si="6"/>
        <v>0</v>
      </c>
      <c r="U59" s="63">
        <f t="shared" si="7"/>
        <v>0.16666666666666666</v>
      </c>
      <c r="V59" s="64" t="str">
        <f t="shared" si="8"/>
        <v/>
      </c>
      <c r="W59" s="65"/>
      <c r="X59" s="65" t="str">
        <f t="shared" si="9"/>
        <v/>
      </c>
    </row>
    <row r="60" spans="1:24" ht="39" customHeight="1">
      <c r="A60" s="347" t="s">
        <v>660</v>
      </c>
      <c r="B60" s="276"/>
      <c r="C60" s="264" t="s">
        <v>659</v>
      </c>
      <c r="D60" s="264"/>
      <c r="E60" s="264"/>
      <c r="F60" s="264"/>
      <c r="G60" s="264"/>
      <c r="H60" s="264"/>
      <c r="I60" s="264"/>
      <c r="J60" s="55">
        <v>1</v>
      </c>
      <c r="K60" s="55">
        <v>16</v>
      </c>
      <c r="L60" s="55">
        <v>16</v>
      </c>
      <c r="M60" s="46"/>
      <c r="N60" s="46"/>
      <c r="O60" s="46"/>
      <c r="P60" s="46">
        <v>1</v>
      </c>
      <c r="Q60" s="174"/>
      <c r="R60" s="72"/>
      <c r="S60" s="71">
        <f t="shared" si="5"/>
        <v>1</v>
      </c>
      <c r="T60" s="71">
        <f t="shared" si="6"/>
        <v>0</v>
      </c>
      <c r="U60" s="71">
        <f t="shared" si="7"/>
        <v>0</v>
      </c>
      <c r="V60" s="72" t="str">
        <f t="shared" si="8"/>
        <v/>
      </c>
      <c r="W60" s="73"/>
      <c r="X60" s="74" t="str">
        <f t="shared" si="9"/>
        <v/>
      </c>
    </row>
    <row r="61" spans="1:24" ht="24.95" customHeight="1">
      <c r="A61" s="276"/>
      <c r="B61" s="276"/>
      <c r="C61" s="264"/>
      <c r="D61" s="264"/>
      <c r="E61" s="264"/>
      <c r="F61" s="264"/>
      <c r="G61" s="264"/>
      <c r="H61" s="264"/>
      <c r="I61" s="264"/>
      <c r="J61" s="46"/>
      <c r="K61" s="46"/>
      <c r="L61" s="46"/>
      <c r="M61" s="46"/>
      <c r="N61" s="46"/>
      <c r="O61" s="46"/>
      <c r="P61" s="46"/>
      <c r="Q61" s="174"/>
      <c r="R61" s="72"/>
      <c r="S61" s="71" t="str">
        <f t="shared" si="5"/>
        <v/>
      </c>
      <c r="T61" s="71" t="str">
        <f t="shared" si="6"/>
        <v/>
      </c>
      <c r="U61" s="71" t="str">
        <f t="shared" si="7"/>
        <v/>
      </c>
      <c r="V61" s="72" t="str">
        <f t="shared" si="8"/>
        <v/>
      </c>
      <c r="W61" s="74"/>
      <c r="X61" s="74" t="str">
        <f t="shared" si="9"/>
        <v/>
      </c>
    </row>
    <row r="62" spans="1:24" ht="24.95" customHeight="1">
      <c r="A62" s="276"/>
      <c r="B62" s="276"/>
      <c r="C62" s="264"/>
      <c r="D62" s="264"/>
      <c r="E62" s="264"/>
      <c r="F62" s="264"/>
      <c r="G62" s="264"/>
      <c r="H62" s="264"/>
      <c r="I62" s="264"/>
      <c r="J62" s="46"/>
      <c r="K62" s="46"/>
      <c r="L62" s="46"/>
      <c r="M62" s="46"/>
      <c r="N62" s="46"/>
      <c r="O62" s="46"/>
      <c r="P62" s="46"/>
      <c r="Q62" s="174"/>
      <c r="R62" s="72"/>
      <c r="S62" s="75" t="str">
        <f t="shared" si="5"/>
        <v/>
      </c>
      <c r="T62" s="75" t="str">
        <f t="shared" si="6"/>
        <v/>
      </c>
      <c r="U62" s="75" t="str">
        <f t="shared" si="7"/>
        <v/>
      </c>
      <c r="V62" s="76" t="str">
        <f t="shared" si="8"/>
        <v/>
      </c>
      <c r="W62" s="78"/>
      <c r="X62" s="78" t="str">
        <f t="shared" si="9"/>
        <v/>
      </c>
    </row>
    <row r="63" spans="1:24" ht="24.95" customHeight="1">
      <c r="A63" s="262" t="s">
        <v>61</v>
      </c>
      <c r="B63" s="262" t="s">
        <v>61</v>
      </c>
      <c r="C63" s="270"/>
      <c r="D63" s="270"/>
      <c r="E63" s="270"/>
      <c r="F63" s="270"/>
      <c r="G63" s="270"/>
      <c r="H63" s="270"/>
      <c r="I63" s="270"/>
      <c r="J63" s="49">
        <f>SUM(J56:J62)</f>
        <v>5.5</v>
      </c>
      <c r="K63" s="49">
        <f>SUM(K56:K62)</f>
        <v>116</v>
      </c>
      <c r="L63" s="49">
        <f>SUM(L56:L62)</f>
        <v>69</v>
      </c>
      <c r="M63" s="49">
        <f>SUM(M56:M62)</f>
        <v>0</v>
      </c>
      <c r="N63" s="49">
        <f>SUM(N56:N62)</f>
        <v>47</v>
      </c>
      <c r="O63" s="180">
        <f>COUNTIF(O56:O62,"√")</f>
        <v>0</v>
      </c>
      <c r="P63" s="49"/>
      <c r="Q63" s="35"/>
      <c r="R63" s="187"/>
      <c r="S63" s="80">
        <f>SUM(S56:S62)</f>
        <v>4.1333333333333329</v>
      </c>
      <c r="T63" s="80">
        <f>SUM(T56:T62)</f>
        <v>0</v>
      </c>
      <c r="U63" s="80">
        <f>SUM(U56:U62)</f>
        <v>1.3666666666666667</v>
      </c>
      <c r="V63" s="80"/>
      <c r="W63" s="56"/>
      <c r="X63" s="65" t="str">
        <f>IF(J63&lt;&gt;S63+T63+U63,"学分计算有误！","")</f>
        <v/>
      </c>
    </row>
    <row r="64" spans="1:24" ht="36.950000000000003" customHeight="1">
      <c r="A64" s="339" t="s">
        <v>552</v>
      </c>
      <c r="B64" s="339"/>
      <c r="C64" s="293" t="s">
        <v>71</v>
      </c>
      <c r="D64" s="293"/>
      <c r="E64" s="293"/>
      <c r="F64" s="293"/>
      <c r="G64" s="293"/>
      <c r="H64" s="293"/>
      <c r="I64" s="293"/>
      <c r="J64" s="111">
        <v>1</v>
      </c>
      <c r="K64" s="111">
        <v>1</v>
      </c>
      <c r="L64" s="111"/>
      <c r="M64" s="111"/>
      <c r="N64" s="111">
        <v>1</v>
      </c>
      <c r="O64" s="111"/>
      <c r="P64" s="111">
        <v>2</v>
      </c>
      <c r="Q64" s="132"/>
      <c r="R64" s="144"/>
      <c r="S64" s="120"/>
      <c r="T64" s="120"/>
      <c r="U64" s="120"/>
      <c r="V64" s="120" t="str">
        <f>IF(O64="√",1,"")</f>
        <v/>
      </c>
      <c r="W64" s="120"/>
      <c r="X64" s="74" t="str">
        <f>IF(C64&lt;&gt;"",IF(P64="","请填写修读学期！","")&amp;IF(P64&gt;10,"超出修读期限！",""),"")</f>
        <v/>
      </c>
    </row>
    <row r="65" spans="1:24" ht="33.75" customHeight="1">
      <c r="A65" s="339"/>
      <c r="B65" s="339"/>
      <c r="C65" s="293"/>
      <c r="D65" s="293"/>
      <c r="E65" s="293"/>
      <c r="F65" s="293"/>
      <c r="G65" s="293"/>
      <c r="H65" s="293"/>
      <c r="I65" s="293"/>
      <c r="J65" s="111"/>
      <c r="K65" s="111"/>
      <c r="L65" s="111"/>
      <c r="M65" s="111"/>
      <c r="N65" s="111"/>
      <c r="O65" s="111"/>
      <c r="P65" s="111"/>
      <c r="Q65" s="132"/>
      <c r="R65" s="144"/>
      <c r="S65" s="120"/>
      <c r="T65" s="120"/>
      <c r="U65" s="120"/>
      <c r="V65" s="120" t="str">
        <f>IF(O65="√",1,"")</f>
        <v/>
      </c>
      <c r="W65" s="120"/>
      <c r="X65" s="74" t="str">
        <f>IF(C65&lt;&gt;"",IF(P65="","请填写修读学期！","")&amp;IF(P65&gt;10,"超出修读期限！",""),"")</f>
        <v/>
      </c>
    </row>
    <row r="66" spans="1:24" ht="24.95" customHeight="1">
      <c r="A66" s="276"/>
      <c r="B66" s="276"/>
      <c r="C66" s="293"/>
      <c r="D66" s="293"/>
      <c r="E66" s="293"/>
      <c r="F66" s="293"/>
      <c r="G66" s="293"/>
      <c r="H66" s="293"/>
      <c r="I66" s="293"/>
      <c r="J66" s="111"/>
      <c r="K66" s="111"/>
      <c r="L66" s="111"/>
      <c r="M66" s="111"/>
      <c r="N66" s="111"/>
      <c r="O66" s="111"/>
      <c r="P66" s="111"/>
      <c r="Q66" s="200"/>
      <c r="R66" s="144"/>
      <c r="S66" s="120"/>
      <c r="T66" s="120"/>
      <c r="U66" s="120"/>
      <c r="V66" s="120" t="str">
        <f>IF(O66="√",1,"")</f>
        <v/>
      </c>
      <c r="W66" s="120"/>
      <c r="X66" s="74" t="str">
        <f>IF(C66&lt;&gt;"",IF(P66="","请填写修读学期！","")&amp;IF(P66&gt;10,"超出修读期限！",""),"")</f>
        <v/>
      </c>
    </row>
    <row r="67" spans="1:24" ht="24.95" hidden="1" customHeight="1">
      <c r="A67" s="276"/>
      <c r="B67" s="276"/>
      <c r="C67" s="293"/>
      <c r="D67" s="293"/>
      <c r="E67" s="293"/>
      <c r="F67" s="293"/>
      <c r="G67" s="293"/>
      <c r="H67" s="293"/>
      <c r="I67" s="293"/>
      <c r="J67" s="111"/>
      <c r="K67" s="111"/>
      <c r="L67" s="111"/>
      <c r="M67" s="111"/>
      <c r="N67" s="111"/>
      <c r="O67" s="111"/>
      <c r="P67" s="111"/>
      <c r="Q67" s="200"/>
      <c r="R67" s="144"/>
      <c r="S67" s="121"/>
      <c r="T67" s="121"/>
      <c r="U67" s="121"/>
      <c r="V67" s="121" t="str">
        <f>IF(O67="√",1,"")</f>
        <v/>
      </c>
      <c r="W67" s="121"/>
      <c r="X67" s="78" t="str">
        <f>IF(C67&lt;&gt;"",IF(P67="","请填写修读学期！","")&amp;IF(P67&gt;10,"超出修读期限！",""),"")</f>
        <v/>
      </c>
    </row>
    <row r="68" spans="1:24" ht="24.95" customHeight="1">
      <c r="A68" s="262" t="s">
        <v>61</v>
      </c>
      <c r="B68" s="262"/>
      <c r="C68" s="270"/>
      <c r="D68" s="270"/>
      <c r="E68" s="270"/>
      <c r="F68" s="270"/>
      <c r="G68" s="270"/>
      <c r="H68" s="270"/>
      <c r="I68" s="270"/>
      <c r="J68" s="180">
        <f>SUM(J64:J67)</f>
        <v>1</v>
      </c>
      <c r="K68" s="49">
        <f>SUM(K64:K67)</f>
        <v>1</v>
      </c>
      <c r="L68" s="49"/>
      <c r="M68" s="49"/>
      <c r="N68" s="49"/>
      <c r="O68" s="180">
        <f>COUNTIF(O64:O67,"√")</f>
        <v>0</v>
      </c>
      <c r="P68" s="49"/>
      <c r="Q68" s="35"/>
      <c r="R68" s="187"/>
      <c r="S68" s="187"/>
      <c r="T68" s="187"/>
      <c r="U68" s="187"/>
      <c r="V68" s="187"/>
      <c r="W68" s="56"/>
      <c r="X68" s="64"/>
    </row>
    <row r="69" spans="1:24" ht="21.95" customHeight="1">
      <c r="A69" s="265" t="str">
        <f>"    2.选修课（"&amp;SUMIF(R72:R77,"&gt;0",J72:J77)&amp;"）学分"</f>
        <v xml:space="preserve">    2.选修课（2）学分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87"/>
      <c r="S69" s="87"/>
      <c r="T69" s="87"/>
      <c r="U69" s="87"/>
      <c r="V69" s="87"/>
      <c r="W69" s="87"/>
      <c r="X69" s="59"/>
    </row>
    <row r="70" spans="1:24" ht="18.75" customHeight="1">
      <c r="A70" s="281" t="s">
        <v>27</v>
      </c>
      <c r="B70" s="283"/>
      <c r="C70" s="281" t="s">
        <v>28</v>
      </c>
      <c r="D70" s="282"/>
      <c r="E70" s="282"/>
      <c r="F70" s="282"/>
      <c r="G70" s="282"/>
      <c r="H70" s="282"/>
      <c r="I70" s="283"/>
      <c r="J70" s="279" t="s">
        <v>29</v>
      </c>
      <c r="K70" s="266" t="s">
        <v>30</v>
      </c>
      <c r="L70" s="267"/>
      <c r="M70" s="267"/>
      <c r="N70" s="268"/>
      <c r="O70" s="279" t="s">
        <v>31</v>
      </c>
      <c r="P70" s="343" t="s">
        <v>32</v>
      </c>
      <c r="Q70" s="279" t="s">
        <v>33</v>
      </c>
      <c r="R70" s="346" t="s">
        <v>34</v>
      </c>
      <c r="S70" s="352" t="s">
        <v>35</v>
      </c>
      <c r="T70" s="352" t="s">
        <v>36</v>
      </c>
      <c r="U70" s="352" t="s">
        <v>37</v>
      </c>
      <c r="V70" s="352" t="s">
        <v>38</v>
      </c>
      <c r="W70" s="352" t="s">
        <v>39</v>
      </c>
      <c r="X70" s="348" t="s">
        <v>40</v>
      </c>
    </row>
    <row r="71" spans="1:24" ht="54.95" customHeight="1">
      <c r="A71" s="284"/>
      <c r="B71" s="286"/>
      <c r="C71" s="284"/>
      <c r="D71" s="285"/>
      <c r="E71" s="285"/>
      <c r="F71" s="285"/>
      <c r="G71" s="285"/>
      <c r="H71" s="285"/>
      <c r="I71" s="286"/>
      <c r="J71" s="280"/>
      <c r="K71" s="34" t="s">
        <v>41</v>
      </c>
      <c r="L71" s="34" t="s">
        <v>42</v>
      </c>
      <c r="M71" s="34" t="s">
        <v>43</v>
      </c>
      <c r="N71" s="34" t="s">
        <v>44</v>
      </c>
      <c r="O71" s="280"/>
      <c r="P71" s="344"/>
      <c r="Q71" s="280"/>
      <c r="R71" s="346"/>
      <c r="S71" s="353"/>
      <c r="T71" s="353"/>
      <c r="U71" s="353"/>
      <c r="V71" s="353"/>
      <c r="W71" s="353"/>
      <c r="X71" s="348"/>
    </row>
    <row r="72" spans="1:24" ht="49.5" customHeight="1">
      <c r="A72" s="259" t="s">
        <v>553</v>
      </c>
      <c r="B72" s="259"/>
      <c r="C72" s="260" t="s">
        <v>72</v>
      </c>
      <c r="D72" s="260"/>
      <c r="E72" s="260"/>
      <c r="F72" s="260"/>
      <c r="G72" s="260"/>
      <c r="H72" s="260"/>
      <c r="I72" s="260"/>
      <c r="J72" s="43">
        <v>2</v>
      </c>
      <c r="K72" s="43"/>
      <c r="L72" s="43"/>
      <c r="M72" s="43"/>
      <c r="N72" s="43"/>
      <c r="O72" s="43"/>
      <c r="P72" s="43"/>
      <c r="Q72" s="44" t="s">
        <v>73</v>
      </c>
      <c r="R72" s="88">
        <v>1</v>
      </c>
      <c r="S72" s="63" t="str">
        <f t="shared" ref="S72:S77" si="10">IF(ISERROR(J72*L72/(L72+M72/2+N72/2)),"",J72*L72/(L72+M72/2+N72/2))</f>
        <v/>
      </c>
      <c r="T72" s="63" t="str">
        <f t="shared" ref="T72:T77" si="11">IF(ISERROR(J72*M72/2/(L72+M72/2+N72/2)),"",J72*M72/2/(L72+M72/2+N72/2))</f>
        <v/>
      </c>
      <c r="U72" s="63" t="str">
        <f t="shared" ref="U72:U77" si="12">IF(ISERROR(J72*N72/2/(L72+M72/2+N72/2)),"",J72*N72/2/(L72+M72/2+N72/2))</f>
        <v/>
      </c>
      <c r="V72" s="64"/>
      <c r="W72" s="64" t="str">
        <f t="shared" ref="W72:W77" si="13">IF(O72="√",1,"")</f>
        <v/>
      </c>
      <c r="X72" s="65"/>
    </row>
    <row r="73" spans="1:24" ht="24.95" customHeight="1">
      <c r="A73" s="287"/>
      <c r="B73" s="288"/>
      <c r="C73" s="289"/>
      <c r="D73" s="290"/>
      <c r="E73" s="290"/>
      <c r="F73" s="290"/>
      <c r="G73" s="290"/>
      <c r="H73" s="290"/>
      <c r="I73" s="291"/>
      <c r="J73" s="46"/>
      <c r="K73" s="46"/>
      <c r="L73" s="46"/>
      <c r="M73" s="46"/>
      <c r="N73" s="46"/>
      <c r="O73" s="48"/>
      <c r="P73" s="46"/>
      <c r="Q73" s="114"/>
      <c r="R73" s="115"/>
      <c r="S73" s="71" t="str">
        <f t="shared" si="10"/>
        <v/>
      </c>
      <c r="T73" s="71" t="str">
        <f t="shared" si="11"/>
        <v/>
      </c>
      <c r="U73" s="71" t="str">
        <f t="shared" si="12"/>
        <v/>
      </c>
      <c r="V73" s="72"/>
      <c r="W73" s="72" t="str">
        <f t="shared" si="13"/>
        <v/>
      </c>
      <c r="X73" s="74" t="str">
        <f>IF(J73="","",IF(K73="","学时没填，影响学分统计！",""))</f>
        <v/>
      </c>
    </row>
    <row r="74" spans="1:24" ht="24.95" hidden="1" customHeight="1">
      <c r="A74" s="276"/>
      <c r="B74" s="276"/>
      <c r="C74" s="264"/>
      <c r="D74" s="264"/>
      <c r="E74" s="264"/>
      <c r="F74" s="264"/>
      <c r="G74" s="264"/>
      <c r="H74" s="264"/>
      <c r="I74" s="264"/>
      <c r="J74" s="46"/>
      <c r="K74" s="46"/>
      <c r="L74" s="46"/>
      <c r="M74" s="46"/>
      <c r="N74" s="46"/>
      <c r="O74" s="46"/>
      <c r="P74" s="46"/>
      <c r="Q74" s="114"/>
      <c r="R74" s="115"/>
      <c r="S74" s="71" t="str">
        <f t="shared" si="10"/>
        <v/>
      </c>
      <c r="T74" s="71" t="str">
        <f t="shared" si="11"/>
        <v/>
      </c>
      <c r="U74" s="71" t="str">
        <f t="shared" si="12"/>
        <v/>
      </c>
      <c r="V74" s="72"/>
      <c r="W74" s="72" t="str">
        <f t="shared" si="13"/>
        <v/>
      </c>
      <c r="X74" s="74" t="str">
        <f>IF(J74="","",IF(K74="","学时没填，影响学分统计！",""))</f>
        <v/>
      </c>
    </row>
    <row r="75" spans="1:24" ht="24.95" hidden="1" customHeight="1">
      <c r="A75" s="276"/>
      <c r="B75" s="276"/>
      <c r="C75" s="264"/>
      <c r="D75" s="264"/>
      <c r="E75" s="264"/>
      <c r="F75" s="264"/>
      <c r="G75" s="264"/>
      <c r="H75" s="264"/>
      <c r="I75" s="264"/>
      <c r="J75" s="46"/>
      <c r="K75" s="46"/>
      <c r="L75" s="46"/>
      <c r="M75" s="46"/>
      <c r="N75" s="46"/>
      <c r="O75" s="46"/>
      <c r="P75" s="46"/>
      <c r="Q75" s="114"/>
      <c r="R75" s="115"/>
      <c r="S75" s="71" t="str">
        <f t="shared" si="10"/>
        <v/>
      </c>
      <c r="T75" s="71" t="str">
        <f t="shared" si="11"/>
        <v/>
      </c>
      <c r="U75" s="71" t="str">
        <f t="shared" si="12"/>
        <v/>
      </c>
      <c r="V75" s="72"/>
      <c r="W75" s="72" t="str">
        <f t="shared" si="13"/>
        <v/>
      </c>
      <c r="X75" s="74" t="str">
        <f>IF(J75="","",IF(K75="","学时没填，影响学分统计！",""))</f>
        <v/>
      </c>
    </row>
    <row r="76" spans="1:24" ht="24.95" customHeight="1">
      <c r="A76" s="276"/>
      <c r="B76" s="276"/>
      <c r="C76" s="264"/>
      <c r="D76" s="264"/>
      <c r="E76" s="264"/>
      <c r="F76" s="264"/>
      <c r="G76" s="264"/>
      <c r="H76" s="264"/>
      <c r="I76" s="264"/>
      <c r="J76" s="46"/>
      <c r="K76" s="46"/>
      <c r="L76" s="46"/>
      <c r="M76" s="46"/>
      <c r="N76" s="46"/>
      <c r="O76" s="46"/>
      <c r="P76" s="46"/>
      <c r="Q76" s="114"/>
      <c r="R76" s="115"/>
      <c r="S76" s="71" t="str">
        <f t="shared" si="10"/>
        <v/>
      </c>
      <c r="T76" s="71" t="str">
        <f t="shared" si="11"/>
        <v/>
      </c>
      <c r="U76" s="71" t="str">
        <f t="shared" si="12"/>
        <v/>
      </c>
      <c r="V76" s="72"/>
      <c r="W76" s="72" t="str">
        <f t="shared" si="13"/>
        <v/>
      </c>
      <c r="X76" s="74" t="str">
        <f>IF(J76="","",IF(K76="","学时没填，影响学分统计！",""))</f>
        <v/>
      </c>
    </row>
    <row r="77" spans="1:24" ht="24.95" customHeight="1">
      <c r="A77" s="276"/>
      <c r="B77" s="276"/>
      <c r="C77" s="264"/>
      <c r="D77" s="264"/>
      <c r="E77" s="264"/>
      <c r="F77" s="264"/>
      <c r="G77" s="264"/>
      <c r="H77" s="264"/>
      <c r="I77" s="264"/>
      <c r="J77" s="46"/>
      <c r="K77" s="46"/>
      <c r="L77" s="46"/>
      <c r="M77" s="46"/>
      <c r="N77" s="46"/>
      <c r="O77" s="46"/>
      <c r="P77" s="46"/>
      <c r="Q77" s="114"/>
      <c r="R77" s="115"/>
      <c r="S77" s="75" t="str">
        <f t="shared" si="10"/>
        <v/>
      </c>
      <c r="T77" s="75" t="str">
        <f t="shared" si="11"/>
        <v/>
      </c>
      <c r="U77" s="75" t="str">
        <f t="shared" si="12"/>
        <v/>
      </c>
      <c r="V77" s="76"/>
      <c r="W77" s="76" t="str">
        <f t="shared" si="13"/>
        <v/>
      </c>
      <c r="X77" s="78" t="str">
        <f>IF(J77="","",IF(K77="","学时没填，影响学分统计！",""))</f>
        <v/>
      </c>
    </row>
    <row r="78" spans="1:24" ht="24.95" customHeight="1">
      <c r="A78" s="262" t="s">
        <v>61</v>
      </c>
      <c r="B78" s="262"/>
      <c r="C78" s="270" t="s">
        <v>74</v>
      </c>
      <c r="D78" s="270"/>
      <c r="E78" s="270"/>
      <c r="F78" s="270"/>
      <c r="G78" s="270"/>
      <c r="H78" s="270"/>
      <c r="I78" s="270"/>
      <c r="J78" s="95">
        <v>2</v>
      </c>
      <c r="K78" s="35"/>
      <c r="L78" s="35"/>
      <c r="M78" s="35"/>
      <c r="N78" s="35"/>
      <c r="O78" s="35">
        <f>COUNTIF(O72:O77,"√")</f>
        <v>0</v>
      </c>
      <c r="P78" s="189"/>
      <c r="Q78" s="35"/>
      <c r="R78" s="187"/>
      <c r="S78" s="187"/>
      <c r="T78" s="187"/>
      <c r="U78" s="187"/>
      <c r="V78" s="187"/>
      <c r="W78" s="187"/>
      <c r="X78" s="65" t="str">
        <f>IF(SUMIF(R72:R77,"&gt;0",J72:J77)=J78,"计划与实际选修学分一致！",IF(SUMIF(R72:R77,"&gt;0",J72:J77)&gt;J78,"实际比计划选修多"&amp;SUMIF(R72:R77,"&gt;0",J72:J77)-J78&amp;"学分!","选修缺"&amp;J78-SUMIF(R72:R77,"&gt;0",J72:J77)&amp;"学分!"))</f>
        <v>计划与实际选修学分一致！</v>
      </c>
    </row>
    <row r="79" spans="1:24" ht="21.95" customHeight="1">
      <c r="A79" s="265" t="str">
        <f>"    （三）学科基础课程平台（"&amp;J97+J103+SUMIF(R107:R116,"&gt;0",J107:J116)&amp;"学分）"</f>
        <v xml:space="preserve">    （三）学科基础课程平台（53.5学分）</v>
      </c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90"/>
      <c r="S79" s="90"/>
      <c r="T79" s="90"/>
      <c r="U79" s="90"/>
      <c r="V79" s="90"/>
      <c r="W79" s="90"/>
      <c r="X79" s="59"/>
    </row>
    <row r="80" spans="1:24" ht="21.95" customHeight="1">
      <c r="A80" s="265" t="str">
        <f>"    1.必修课（"&amp;J97+J103&amp;"）学分"</f>
        <v xml:space="preserve">    1.必修课（39.5）学分</v>
      </c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60"/>
      <c r="S80" s="60"/>
      <c r="T80" s="60"/>
      <c r="U80" s="60"/>
      <c r="V80" s="60"/>
      <c r="W80" s="60"/>
      <c r="X80" s="59"/>
    </row>
    <row r="81" spans="1:24" ht="18.75" customHeight="1">
      <c r="A81" s="261" t="s">
        <v>27</v>
      </c>
      <c r="B81" s="261"/>
      <c r="C81" s="261" t="s">
        <v>28</v>
      </c>
      <c r="D81" s="261"/>
      <c r="E81" s="261"/>
      <c r="F81" s="261"/>
      <c r="G81" s="261"/>
      <c r="H81" s="261"/>
      <c r="I81" s="261"/>
      <c r="J81" s="261" t="s">
        <v>29</v>
      </c>
      <c r="K81" s="262" t="s">
        <v>30</v>
      </c>
      <c r="L81" s="262"/>
      <c r="M81" s="262"/>
      <c r="N81" s="262"/>
      <c r="O81" s="261" t="s">
        <v>31</v>
      </c>
      <c r="P81" s="342" t="s">
        <v>32</v>
      </c>
      <c r="Q81" s="261" t="s">
        <v>33</v>
      </c>
      <c r="R81" s="346" t="s">
        <v>34</v>
      </c>
      <c r="S81" s="348" t="s">
        <v>35</v>
      </c>
      <c r="T81" s="348" t="s">
        <v>36</v>
      </c>
      <c r="U81" s="348" t="s">
        <v>37</v>
      </c>
      <c r="V81" s="348" t="s">
        <v>38</v>
      </c>
      <c r="W81" s="348" t="s">
        <v>39</v>
      </c>
      <c r="X81" s="348" t="s">
        <v>40</v>
      </c>
    </row>
    <row r="82" spans="1:24" ht="54" customHeight="1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34" t="s">
        <v>41</v>
      </c>
      <c r="L82" s="34" t="s">
        <v>42</v>
      </c>
      <c r="M82" s="34" t="s">
        <v>43</v>
      </c>
      <c r="N82" s="34" t="s">
        <v>44</v>
      </c>
      <c r="O82" s="261"/>
      <c r="P82" s="342"/>
      <c r="Q82" s="261"/>
      <c r="R82" s="346"/>
      <c r="S82" s="348"/>
      <c r="T82" s="348"/>
      <c r="U82" s="348"/>
      <c r="V82" s="348"/>
      <c r="W82" s="348"/>
      <c r="X82" s="348"/>
    </row>
    <row r="83" spans="1:24" ht="27" customHeight="1">
      <c r="A83" s="259" t="s">
        <v>554</v>
      </c>
      <c r="B83" s="259"/>
      <c r="C83" s="292" t="s">
        <v>75</v>
      </c>
      <c r="D83" s="293" t="s">
        <v>76</v>
      </c>
      <c r="E83" s="293" t="s">
        <v>76</v>
      </c>
      <c r="F83" s="293" t="s">
        <v>76</v>
      </c>
      <c r="G83" s="293" t="s">
        <v>76</v>
      </c>
      <c r="H83" s="293" t="s">
        <v>76</v>
      </c>
      <c r="I83" s="293" t="s">
        <v>76</v>
      </c>
      <c r="J83" s="190">
        <v>2</v>
      </c>
      <c r="K83" s="190">
        <v>48</v>
      </c>
      <c r="L83" s="190">
        <v>24</v>
      </c>
      <c r="M83" s="190">
        <v>24</v>
      </c>
      <c r="N83" s="190"/>
      <c r="O83" s="190" t="s">
        <v>50</v>
      </c>
      <c r="P83" s="97">
        <v>1</v>
      </c>
      <c r="Q83" s="96"/>
      <c r="R83" s="201"/>
      <c r="S83" s="71">
        <f t="shared" ref="S83:S96" si="14">IF(ISERROR(J83*L83/(L83+M83/2+N83/2)),"",J83*L83/(L83+M83/2+N83/2))</f>
        <v>1.3333333333333333</v>
      </c>
      <c r="T83" s="71">
        <f t="shared" ref="T83:T96" si="15">IF(ISERROR(J83*M83/2/(L83+M83/2+N83/2)),"",J83*M83/2/(L83+M83/2+N83/2))</f>
        <v>0.66666666666666663</v>
      </c>
      <c r="U83" s="71">
        <f t="shared" ref="U83:U96" si="16">IF(ISERROR(J83*N83/2/(L83+M83/2+N83/2)),"",J83*N83/2/(L83+M83/2+N83/2))</f>
        <v>0</v>
      </c>
      <c r="V83" s="72">
        <f t="shared" ref="V83:V96" si="17">IF(O83="√",1,"")</f>
        <v>1</v>
      </c>
      <c r="W83" s="73"/>
      <c r="X83" s="74" t="str">
        <f t="shared" ref="X83:X96" si="18">IF(J83="","",IF(ISERROR(IF(K83&lt;&gt;L83+M83+N83,"学时计算有误！","")&amp;IF(P83="","请填写修读学期！","")&amp;IF(P83&gt;10,"超出修读期限！","")&amp;IF(J83&lt;&gt;S83+T83+U83,"学分计算有误！","")),"",IF(K83&lt;&gt;L83+M83+N83,"学时计算有误！","")&amp;IF(P83="","请填写修读学期！","")&amp;IF(P83&gt;10,"超出修读期限！","")&amp;IF(J83&lt;&gt;S83+T83+U83,"学分计算有误！",""))&amp;IF(K83="","学时没填，影响学分统计！",""))</f>
        <v/>
      </c>
    </row>
    <row r="84" spans="1:24" ht="41.25" customHeight="1">
      <c r="A84" s="259" t="s">
        <v>555</v>
      </c>
      <c r="B84" s="259"/>
      <c r="C84" s="292" t="s">
        <v>77</v>
      </c>
      <c r="D84" s="293" t="s">
        <v>78</v>
      </c>
      <c r="E84" s="293" t="s">
        <v>78</v>
      </c>
      <c r="F84" s="293" t="s">
        <v>78</v>
      </c>
      <c r="G84" s="293" t="s">
        <v>78</v>
      </c>
      <c r="H84" s="293" t="s">
        <v>78</v>
      </c>
      <c r="I84" s="293" t="s">
        <v>78</v>
      </c>
      <c r="J84" s="190">
        <v>3.5</v>
      </c>
      <c r="K84" s="190">
        <v>72</v>
      </c>
      <c r="L84" s="190">
        <v>40</v>
      </c>
      <c r="M84" s="190">
        <v>32</v>
      </c>
      <c r="N84" s="190"/>
      <c r="O84" s="190" t="s">
        <v>50</v>
      </c>
      <c r="P84" s="97">
        <v>2</v>
      </c>
      <c r="Q84" s="116"/>
      <c r="R84" s="201"/>
      <c r="S84" s="71">
        <f t="shared" si="14"/>
        <v>2.5</v>
      </c>
      <c r="T84" s="71">
        <f t="shared" si="15"/>
        <v>1</v>
      </c>
      <c r="U84" s="71">
        <f t="shared" si="16"/>
        <v>0</v>
      </c>
      <c r="V84" s="72">
        <f t="shared" si="17"/>
        <v>1</v>
      </c>
      <c r="W84" s="73"/>
      <c r="X84" s="74" t="str">
        <f t="shared" si="18"/>
        <v/>
      </c>
    </row>
    <row r="85" spans="1:24" ht="30" customHeight="1">
      <c r="A85" s="259" t="s">
        <v>556</v>
      </c>
      <c r="B85" s="259"/>
      <c r="C85" s="292" t="s">
        <v>79</v>
      </c>
      <c r="D85" s="293" t="s">
        <v>80</v>
      </c>
      <c r="E85" s="293" t="s">
        <v>80</v>
      </c>
      <c r="F85" s="293" t="s">
        <v>80</v>
      </c>
      <c r="G85" s="293" t="s">
        <v>80</v>
      </c>
      <c r="H85" s="293" t="s">
        <v>80</v>
      </c>
      <c r="I85" s="293" t="s">
        <v>80</v>
      </c>
      <c r="J85" s="190">
        <v>6</v>
      </c>
      <c r="K85" s="190">
        <v>96</v>
      </c>
      <c r="L85" s="190">
        <v>96</v>
      </c>
      <c r="M85" s="190"/>
      <c r="N85" s="190"/>
      <c r="O85" s="190" t="s">
        <v>50</v>
      </c>
      <c r="P85" s="103">
        <v>1</v>
      </c>
      <c r="Q85" s="103"/>
      <c r="R85" s="201"/>
      <c r="S85" s="71">
        <f t="shared" si="14"/>
        <v>6</v>
      </c>
      <c r="T85" s="71">
        <f t="shared" si="15"/>
        <v>0</v>
      </c>
      <c r="U85" s="71">
        <f t="shared" si="16"/>
        <v>0</v>
      </c>
      <c r="V85" s="72">
        <f t="shared" si="17"/>
        <v>1</v>
      </c>
      <c r="W85" s="73"/>
      <c r="X85" s="74" t="str">
        <f t="shared" si="18"/>
        <v/>
      </c>
    </row>
    <row r="86" spans="1:24" ht="27" customHeight="1">
      <c r="A86" s="259" t="s">
        <v>557</v>
      </c>
      <c r="B86" s="259"/>
      <c r="C86" s="292" t="s">
        <v>81</v>
      </c>
      <c r="D86" s="293" t="s">
        <v>82</v>
      </c>
      <c r="E86" s="293" t="s">
        <v>82</v>
      </c>
      <c r="F86" s="293" t="s">
        <v>82</v>
      </c>
      <c r="G86" s="293" t="s">
        <v>82</v>
      </c>
      <c r="H86" s="293" t="s">
        <v>82</v>
      </c>
      <c r="I86" s="293" t="s">
        <v>82</v>
      </c>
      <c r="J86" s="190">
        <v>5</v>
      </c>
      <c r="K86" s="190">
        <v>80</v>
      </c>
      <c r="L86" s="190">
        <v>80</v>
      </c>
      <c r="M86" s="190"/>
      <c r="N86" s="190"/>
      <c r="O86" s="190" t="s">
        <v>50</v>
      </c>
      <c r="P86" s="103">
        <v>2</v>
      </c>
      <c r="Q86" s="103"/>
      <c r="R86" s="201"/>
      <c r="S86" s="71">
        <f t="shared" si="14"/>
        <v>5</v>
      </c>
      <c r="T86" s="71">
        <f t="shared" si="15"/>
        <v>0</v>
      </c>
      <c r="U86" s="71">
        <f t="shared" si="16"/>
        <v>0</v>
      </c>
      <c r="V86" s="72">
        <f t="shared" si="17"/>
        <v>1</v>
      </c>
      <c r="W86" s="73"/>
      <c r="X86" s="74" t="str">
        <f t="shared" si="18"/>
        <v/>
      </c>
    </row>
    <row r="87" spans="1:24" ht="27.75" customHeight="1">
      <c r="A87" s="259" t="s">
        <v>558</v>
      </c>
      <c r="B87" s="259"/>
      <c r="C87" s="294" t="s">
        <v>83</v>
      </c>
      <c r="D87" s="293" t="s">
        <v>84</v>
      </c>
      <c r="E87" s="293" t="s">
        <v>84</v>
      </c>
      <c r="F87" s="293" t="s">
        <v>84</v>
      </c>
      <c r="G87" s="293" t="s">
        <v>84</v>
      </c>
      <c r="H87" s="293" t="s">
        <v>84</v>
      </c>
      <c r="I87" s="293" t="s">
        <v>84</v>
      </c>
      <c r="J87" s="190">
        <v>2.5</v>
      </c>
      <c r="K87" s="190">
        <v>48</v>
      </c>
      <c r="L87" s="190">
        <v>32</v>
      </c>
      <c r="M87" s="190">
        <v>16</v>
      </c>
      <c r="N87" s="190"/>
      <c r="O87" s="190"/>
      <c r="P87" s="103">
        <v>1</v>
      </c>
      <c r="Q87" s="103"/>
      <c r="R87" s="201"/>
      <c r="S87" s="71">
        <f t="shared" si="14"/>
        <v>2</v>
      </c>
      <c r="T87" s="71">
        <f t="shared" si="15"/>
        <v>0.5</v>
      </c>
      <c r="U87" s="71">
        <f t="shared" si="16"/>
        <v>0</v>
      </c>
      <c r="V87" s="72" t="str">
        <f t="shared" si="17"/>
        <v/>
      </c>
      <c r="W87" s="73"/>
      <c r="X87" s="74" t="str">
        <f t="shared" si="18"/>
        <v/>
      </c>
    </row>
    <row r="88" spans="1:24" ht="30" customHeight="1">
      <c r="A88" s="259" t="s">
        <v>559</v>
      </c>
      <c r="B88" s="259"/>
      <c r="C88" s="292" t="s">
        <v>85</v>
      </c>
      <c r="D88" s="293" t="s">
        <v>86</v>
      </c>
      <c r="E88" s="293" t="s">
        <v>86</v>
      </c>
      <c r="F88" s="293" t="s">
        <v>86</v>
      </c>
      <c r="G88" s="293" t="s">
        <v>86</v>
      </c>
      <c r="H88" s="293" t="s">
        <v>86</v>
      </c>
      <c r="I88" s="293" t="s">
        <v>86</v>
      </c>
      <c r="J88" s="190">
        <v>3</v>
      </c>
      <c r="K88" s="190">
        <v>48</v>
      </c>
      <c r="L88" s="190">
        <v>48</v>
      </c>
      <c r="M88" s="190"/>
      <c r="N88" s="190"/>
      <c r="O88" s="190"/>
      <c r="P88" s="97">
        <v>2</v>
      </c>
      <c r="Q88" s="103"/>
      <c r="R88" s="201"/>
      <c r="S88" s="71">
        <f t="shared" si="14"/>
        <v>3</v>
      </c>
      <c r="T88" s="71">
        <f t="shared" si="15"/>
        <v>0</v>
      </c>
      <c r="U88" s="71">
        <f t="shared" si="16"/>
        <v>0</v>
      </c>
      <c r="V88" s="72" t="str">
        <f t="shared" si="17"/>
        <v/>
      </c>
      <c r="W88" s="73"/>
      <c r="X88" s="74" t="str">
        <f t="shared" si="18"/>
        <v/>
      </c>
    </row>
    <row r="89" spans="1:24" ht="45" customHeight="1">
      <c r="A89" s="259" t="s">
        <v>563</v>
      </c>
      <c r="B89" s="259"/>
      <c r="C89" s="293" t="s">
        <v>87</v>
      </c>
      <c r="D89" s="293" t="s">
        <v>87</v>
      </c>
      <c r="E89" s="293" t="s">
        <v>87</v>
      </c>
      <c r="F89" s="293" t="s">
        <v>87</v>
      </c>
      <c r="G89" s="293" t="s">
        <v>87</v>
      </c>
      <c r="H89" s="293" t="s">
        <v>87</v>
      </c>
      <c r="I89" s="293" t="s">
        <v>87</v>
      </c>
      <c r="J89" s="190">
        <v>3</v>
      </c>
      <c r="K89" s="190">
        <v>48</v>
      </c>
      <c r="L89" s="190">
        <v>48</v>
      </c>
      <c r="M89" s="190"/>
      <c r="N89" s="190"/>
      <c r="O89" s="190" t="s">
        <v>50</v>
      </c>
      <c r="P89" s="97">
        <v>3</v>
      </c>
      <c r="Q89" s="103"/>
      <c r="R89" s="201"/>
      <c r="S89" s="71">
        <f t="shared" si="14"/>
        <v>3</v>
      </c>
      <c r="T89" s="71">
        <f t="shared" si="15"/>
        <v>0</v>
      </c>
      <c r="U89" s="71">
        <f t="shared" si="16"/>
        <v>0</v>
      </c>
      <c r="V89" s="72">
        <f t="shared" si="17"/>
        <v>1</v>
      </c>
      <c r="W89" s="73"/>
      <c r="X89" s="74" t="str">
        <f t="shared" si="18"/>
        <v/>
      </c>
    </row>
    <row r="90" spans="1:24" ht="31.5" customHeight="1">
      <c r="A90" s="259" t="s">
        <v>560</v>
      </c>
      <c r="B90" s="259"/>
      <c r="C90" s="292" t="s">
        <v>88</v>
      </c>
      <c r="D90" s="293" t="s">
        <v>89</v>
      </c>
      <c r="E90" s="293" t="s">
        <v>89</v>
      </c>
      <c r="F90" s="293" t="s">
        <v>89</v>
      </c>
      <c r="G90" s="293" t="s">
        <v>89</v>
      </c>
      <c r="H90" s="293" t="s">
        <v>89</v>
      </c>
      <c r="I90" s="293" t="s">
        <v>89</v>
      </c>
      <c r="J90" s="103">
        <v>3</v>
      </c>
      <c r="K90" s="103">
        <v>48</v>
      </c>
      <c r="L90" s="103">
        <v>48</v>
      </c>
      <c r="M90" s="190"/>
      <c r="N90" s="190"/>
      <c r="O90" s="190" t="s">
        <v>50</v>
      </c>
      <c r="P90" s="103">
        <v>2</v>
      </c>
      <c r="Q90" s="103"/>
      <c r="R90" s="201"/>
      <c r="S90" s="71">
        <f t="shared" si="14"/>
        <v>3</v>
      </c>
      <c r="T90" s="71">
        <f t="shared" si="15"/>
        <v>0</v>
      </c>
      <c r="U90" s="71">
        <f t="shared" si="16"/>
        <v>0</v>
      </c>
      <c r="V90" s="72">
        <f t="shared" si="17"/>
        <v>1</v>
      </c>
      <c r="W90" s="73"/>
      <c r="X90" s="74" t="str">
        <f t="shared" si="18"/>
        <v/>
      </c>
    </row>
    <row r="91" spans="1:24" ht="33.75" customHeight="1">
      <c r="A91" s="259" t="s">
        <v>561</v>
      </c>
      <c r="B91" s="259"/>
      <c r="C91" s="293" t="s">
        <v>90</v>
      </c>
      <c r="D91" s="293" t="s">
        <v>90</v>
      </c>
      <c r="E91" s="293" t="s">
        <v>90</v>
      </c>
      <c r="F91" s="293" t="s">
        <v>90</v>
      </c>
      <c r="G91" s="293" t="s">
        <v>90</v>
      </c>
      <c r="H91" s="293" t="s">
        <v>90</v>
      </c>
      <c r="I91" s="293" t="s">
        <v>90</v>
      </c>
      <c r="J91" s="190">
        <v>1</v>
      </c>
      <c r="K91" s="190">
        <v>24</v>
      </c>
      <c r="L91" s="190"/>
      <c r="M91" s="190">
        <v>24</v>
      </c>
      <c r="N91" s="190"/>
      <c r="O91" s="191"/>
      <c r="P91" s="103">
        <v>2</v>
      </c>
      <c r="Q91" s="103"/>
      <c r="R91" s="201"/>
      <c r="S91" s="71">
        <f t="shared" si="14"/>
        <v>0</v>
      </c>
      <c r="T91" s="71">
        <f t="shared" si="15"/>
        <v>1</v>
      </c>
      <c r="U91" s="71">
        <f t="shared" si="16"/>
        <v>0</v>
      </c>
      <c r="V91" s="72" t="str">
        <f t="shared" si="17"/>
        <v/>
      </c>
      <c r="W91" s="73"/>
      <c r="X91" s="74" t="str">
        <f t="shared" si="18"/>
        <v/>
      </c>
    </row>
    <row r="92" spans="1:24" ht="33.75" customHeight="1">
      <c r="A92" s="259" t="s">
        <v>565</v>
      </c>
      <c r="B92" s="259"/>
      <c r="C92" s="293" t="s">
        <v>564</v>
      </c>
      <c r="D92" s="293"/>
      <c r="E92" s="293"/>
      <c r="F92" s="293"/>
      <c r="G92" s="293"/>
      <c r="H92" s="293"/>
      <c r="I92" s="293"/>
      <c r="J92" s="190">
        <v>3</v>
      </c>
      <c r="K92" s="190">
        <v>48</v>
      </c>
      <c r="L92" s="190">
        <v>48</v>
      </c>
      <c r="M92" s="190"/>
      <c r="N92" s="190"/>
      <c r="O92" s="190" t="s">
        <v>50</v>
      </c>
      <c r="P92" s="103">
        <v>3</v>
      </c>
      <c r="Q92" s="103"/>
      <c r="R92" s="201"/>
      <c r="S92" s="71">
        <f t="shared" si="14"/>
        <v>3</v>
      </c>
      <c r="T92" s="71">
        <f t="shared" si="15"/>
        <v>0</v>
      </c>
      <c r="U92" s="71">
        <f t="shared" si="16"/>
        <v>0</v>
      </c>
      <c r="V92" s="72">
        <f t="shared" si="17"/>
        <v>1</v>
      </c>
      <c r="W92" s="73"/>
      <c r="X92" s="74" t="str">
        <f t="shared" si="18"/>
        <v/>
      </c>
    </row>
    <row r="93" spans="1:24" ht="33.75" customHeight="1">
      <c r="A93" s="259" t="s">
        <v>567</v>
      </c>
      <c r="B93" s="259"/>
      <c r="C93" s="293" t="s">
        <v>566</v>
      </c>
      <c r="D93" s="293"/>
      <c r="E93" s="293"/>
      <c r="F93" s="293"/>
      <c r="G93" s="293"/>
      <c r="H93" s="293"/>
      <c r="I93" s="293"/>
      <c r="J93" s="190">
        <v>2.5</v>
      </c>
      <c r="K93" s="190">
        <v>48</v>
      </c>
      <c r="L93" s="190">
        <v>32</v>
      </c>
      <c r="M93" s="190">
        <v>16</v>
      </c>
      <c r="N93" s="190"/>
      <c r="O93" s="190" t="s">
        <v>50</v>
      </c>
      <c r="P93" s="103">
        <v>3</v>
      </c>
      <c r="Q93" s="103"/>
      <c r="R93" s="201"/>
      <c r="S93" s="71">
        <f t="shared" si="14"/>
        <v>2</v>
      </c>
      <c r="T93" s="71">
        <f t="shared" si="15"/>
        <v>0.5</v>
      </c>
      <c r="U93" s="71">
        <f t="shared" si="16"/>
        <v>0</v>
      </c>
      <c r="V93" s="72">
        <f t="shared" si="17"/>
        <v>1</v>
      </c>
      <c r="W93" s="73"/>
      <c r="X93" s="74" t="str">
        <f t="shared" si="18"/>
        <v/>
      </c>
    </row>
    <row r="94" spans="1:24" ht="33.75" customHeight="1">
      <c r="A94" s="276" t="s">
        <v>569</v>
      </c>
      <c r="B94" s="276"/>
      <c r="C94" s="293" t="s">
        <v>568</v>
      </c>
      <c r="D94" s="293"/>
      <c r="E94" s="293"/>
      <c r="F94" s="293"/>
      <c r="G94" s="293"/>
      <c r="H94" s="293"/>
      <c r="I94" s="293"/>
      <c r="J94" s="190">
        <v>3</v>
      </c>
      <c r="K94" s="190">
        <v>48</v>
      </c>
      <c r="L94" s="190">
        <v>48</v>
      </c>
      <c r="M94" s="190"/>
      <c r="N94" s="190"/>
      <c r="O94" s="190" t="s">
        <v>50</v>
      </c>
      <c r="P94" s="103">
        <v>3</v>
      </c>
      <c r="Q94" s="103"/>
      <c r="R94" s="201"/>
      <c r="S94" s="71">
        <f t="shared" si="14"/>
        <v>3</v>
      </c>
      <c r="T94" s="71">
        <f t="shared" si="15"/>
        <v>0</v>
      </c>
      <c r="U94" s="71">
        <f t="shared" si="16"/>
        <v>0</v>
      </c>
      <c r="V94" s="72">
        <f t="shared" si="17"/>
        <v>1</v>
      </c>
      <c r="W94" s="73"/>
      <c r="X94" s="74" t="str">
        <f t="shared" si="18"/>
        <v/>
      </c>
    </row>
    <row r="95" spans="1:24" ht="24.95" hidden="1" customHeight="1">
      <c r="A95" s="276"/>
      <c r="B95" s="276"/>
      <c r="C95" s="264"/>
      <c r="D95" s="264"/>
      <c r="E95" s="264"/>
      <c r="F95" s="264"/>
      <c r="G95" s="264"/>
      <c r="H95" s="264"/>
      <c r="I95" s="264"/>
      <c r="J95" s="46"/>
      <c r="K95" s="46"/>
      <c r="L95" s="46"/>
      <c r="M95" s="46"/>
      <c r="N95" s="46"/>
      <c r="O95" s="131"/>
      <c r="P95" s="192"/>
      <c r="Q95" s="174"/>
      <c r="R95" s="72"/>
      <c r="S95" s="71" t="str">
        <f t="shared" si="14"/>
        <v/>
      </c>
      <c r="T95" s="71" t="str">
        <f t="shared" si="15"/>
        <v/>
      </c>
      <c r="U95" s="71" t="str">
        <f t="shared" si="16"/>
        <v/>
      </c>
      <c r="V95" s="72" t="str">
        <f t="shared" si="17"/>
        <v/>
      </c>
      <c r="W95" s="74"/>
      <c r="X95" s="74" t="str">
        <f t="shared" si="18"/>
        <v/>
      </c>
    </row>
    <row r="96" spans="1:24" ht="24.95" customHeight="1">
      <c r="A96" s="276"/>
      <c r="B96" s="276"/>
      <c r="C96" s="264"/>
      <c r="D96" s="264"/>
      <c r="E96" s="264"/>
      <c r="F96" s="264"/>
      <c r="G96" s="264"/>
      <c r="H96" s="264"/>
      <c r="I96" s="264"/>
      <c r="J96" s="46"/>
      <c r="K96" s="46"/>
      <c r="L96" s="46"/>
      <c r="M96" s="46"/>
      <c r="N96" s="46"/>
      <c r="O96" s="131"/>
      <c r="P96" s="192"/>
      <c r="Q96" s="174"/>
      <c r="R96" s="72"/>
      <c r="S96" s="75" t="str">
        <f t="shared" si="14"/>
        <v/>
      </c>
      <c r="T96" s="75" t="str">
        <f t="shared" si="15"/>
        <v/>
      </c>
      <c r="U96" s="75" t="str">
        <f t="shared" si="16"/>
        <v/>
      </c>
      <c r="V96" s="76" t="str">
        <f t="shared" si="17"/>
        <v/>
      </c>
      <c r="W96" s="78"/>
      <c r="X96" s="78" t="str">
        <f t="shared" si="18"/>
        <v/>
      </c>
    </row>
    <row r="97" spans="1:24" ht="24.95" customHeight="1">
      <c r="A97" s="262" t="s">
        <v>61</v>
      </c>
      <c r="B97" s="262" t="s">
        <v>61</v>
      </c>
      <c r="C97" s="270"/>
      <c r="D97" s="270"/>
      <c r="E97" s="270"/>
      <c r="F97" s="270"/>
      <c r="G97" s="270"/>
      <c r="H97" s="270"/>
      <c r="I97" s="270"/>
      <c r="J97" s="49">
        <f>SUM(J83:J96)</f>
        <v>37.5</v>
      </c>
      <c r="K97" s="49">
        <f>SUM(K83:K96)</f>
        <v>656</v>
      </c>
      <c r="L97" s="49">
        <f>SUM(L83:L96)</f>
        <v>544</v>
      </c>
      <c r="M97" s="49">
        <f>SUM(M83:M96)</f>
        <v>112</v>
      </c>
      <c r="N97" s="49">
        <f>SUM(N83:N96)</f>
        <v>0</v>
      </c>
      <c r="O97" s="180">
        <f>COUNTIF(O83:O96,"√")</f>
        <v>9</v>
      </c>
      <c r="P97" s="49"/>
      <c r="Q97" s="35"/>
      <c r="R97" s="187"/>
      <c r="S97" s="80">
        <f>SUM(S83:S96)</f>
        <v>33.833333333333329</v>
      </c>
      <c r="T97" s="80">
        <f>SUM(T83:T96)</f>
        <v>3.6666666666666665</v>
      </c>
      <c r="U97" s="80">
        <f>SUM(U83:U96)</f>
        <v>0</v>
      </c>
      <c r="V97" s="80"/>
      <c r="W97" s="56"/>
      <c r="X97" s="65" t="str">
        <f>IF(J97&lt;&gt;S97+T97+U97,"学分计算有误！","")</f>
        <v/>
      </c>
    </row>
    <row r="98" spans="1:24" ht="48" customHeight="1">
      <c r="A98" s="259" t="s">
        <v>570</v>
      </c>
      <c r="B98" s="259"/>
      <c r="C98" s="264" t="s">
        <v>91</v>
      </c>
      <c r="D98" s="264" t="s">
        <v>92</v>
      </c>
      <c r="E98" s="264" t="s">
        <v>92</v>
      </c>
      <c r="F98" s="264" t="s">
        <v>92</v>
      </c>
      <c r="G98" s="264" t="s">
        <v>92</v>
      </c>
      <c r="H98" s="264" t="s">
        <v>92</v>
      </c>
      <c r="I98" s="264" t="s">
        <v>92</v>
      </c>
      <c r="J98" s="55">
        <v>1</v>
      </c>
      <c r="K98" s="193">
        <v>1</v>
      </c>
      <c r="L98" s="193"/>
      <c r="M98" s="193"/>
      <c r="N98" s="193">
        <v>1</v>
      </c>
      <c r="O98" s="194"/>
      <c r="P98" s="195">
        <v>3</v>
      </c>
      <c r="Q98" s="202"/>
      <c r="R98" s="73"/>
      <c r="S98" s="72"/>
      <c r="T98" s="72"/>
      <c r="U98" s="72"/>
      <c r="V98" s="72" t="str">
        <f>IF(O98="√",1,"")</f>
        <v/>
      </c>
      <c r="W98" s="72"/>
      <c r="X98" s="74" t="str">
        <f>IF(C98&lt;&gt;"",IF(P98="","请填写修读学期！","")&amp;IF(P98&gt;10,"超出修读期限！",""),"")</f>
        <v/>
      </c>
    </row>
    <row r="99" spans="1:24" ht="24.95" customHeight="1">
      <c r="A99" s="259" t="s">
        <v>571</v>
      </c>
      <c r="B99" s="259"/>
      <c r="C99" s="264" t="s">
        <v>93</v>
      </c>
      <c r="D99" s="264"/>
      <c r="E99" s="264"/>
      <c r="F99" s="264"/>
      <c r="G99" s="264"/>
      <c r="H99" s="264"/>
      <c r="I99" s="264"/>
      <c r="J99" s="46">
        <v>1</v>
      </c>
      <c r="K99" s="46">
        <v>1</v>
      </c>
      <c r="L99" s="46"/>
      <c r="M99" s="46"/>
      <c r="N99" s="46">
        <v>1</v>
      </c>
      <c r="O99" s="46"/>
      <c r="P99" s="46">
        <v>3</v>
      </c>
      <c r="Q99" s="174"/>
      <c r="R99" s="73"/>
      <c r="S99" s="72"/>
      <c r="T99" s="72"/>
      <c r="U99" s="72"/>
      <c r="V99" s="72" t="str">
        <f>IF(O99="√",1,"")</f>
        <v/>
      </c>
      <c r="W99" s="72"/>
      <c r="X99" s="74" t="str">
        <f>IF(C99&lt;&gt;"",IF(P99="","请填写修读学期！","")&amp;IF(P99&gt;10,"超出修读期限！",""),"")</f>
        <v/>
      </c>
    </row>
    <row r="100" spans="1:24" ht="24.95" customHeight="1">
      <c r="A100" s="276"/>
      <c r="B100" s="276"/>
      <c r="C100" s="264"/>
      <c r="D100" s="264"/>
      <c r="E100" s="264"/>
      <c r="F100" s="264"/>
      <c r="G100" s="264"/>
      <c r="H100" s="264"/>
      <c r="I100" s="264"/>
      <c r="J100" s="46"/>
      <c r="K100" s="46"/>
      <c r="L100" s="46"/>
      <c r="M100" s="46"/>
      <c r="N100" s="46"/>
      <c r="O100" s="131"/>
      <c r="P100" s="196"/>
      <c r="Q100" s="174"/>
      <c r="R100" s="73"/>
      <c r="S100" s="72"/>
      <c r="T100" s="72"/>
      <c r="U100" s="72"/>
      <c r="V100" s="72" t="str">
        <f>IF(O100="√",1,"")</f>
        <v/>
      </c>
      <c r="W100" s="72"/>
      <c r="X100" s="74" t="str">
        <f>IF(C100&lt;&gt;"",IF(P100="","请填写修读学期！","")&amp;IF(P100&gt;10,"超出修读期限！",""),"")</f>
        <v/>
      </c>
    </row>
    <row r="101" spans="1:24" ht="24.95" hidden="1" customHeight="1">
      <c r="A101" s="276"/>
      <c r="B101" s="276"/>
      <c r="C101" s="264"/>
      <c r="D101" s="264"/>
      <c r="E101" s="264"/>
      <c r="F101" s="264"/>
      <c r="G101" s="264"/>
      <c r="H101" s="264"/>
      <c r="I101" s="264"/>
      <c r="J101" s="46"/>
      <c r="K101" s="46"/>
      <c r="L101" s="46"/>
      <c r="M101" s="46"/>
      <c r="N101" s="46"/>
      <c r="O101" s="46"/>
      <c r="P101" s="46"/>
      <c r="Q101" s="174"/>
      <c r="R101" s="73"/>
      <c r="S101" s="72"/>
      <c r="T101" s="72"/>
      <c r="U101" s="72"/>
      <c r="V101" s="72" t="str">
        <f>IF(O101="√",1,"")</f>
        <v/>
      </c>
      <c r="W101" s="72"/>
      <c r="X101" s="74" t="str">
        <f>IF(C101&lt;&gt;"",IF(P101="","请填写修读学期！","")&amp;IF(P101&gt;10,"超出修读期限！",""),"")</f>
        <v/>
      </c>
    </row>
    <row r="102" spans="1:24" ht="24.95" hidden="1" customHeight="1">
      <c r="A102" s="276"/>
      <c r="B102" s="276"/>
      <c r="C102" s="264"/>
      <c r="D102" s="264"/>
      <c r="E102" s="264"/>
      <c r="F102" s="264"/>
      <c r="G102" s="264"/>
      <c r="H102" s="264"/>
      <c r="I102" s="264"/>
      <c r="J102" s="46"/>
      <c r="K102" s="46"/>
      <c r="L102" s="46"/>
      <c r="M102" s="46"/>
      <c r="N102" s="46"/>
      <c r="O102" s="46"/>
      <c r="P102" s="46"/>
      <c r="Q102" s="174"/>
      <c r="R102" s="73"/>
      <c r="S102" s="76"/>
      <c r="T102" s="76"/>
      <c r="U102" s="76"/>
      <c r="V102" s="76" t="str">
        <f>IF(O102="√",1,"")</f>
        <v/>
      </c>
      <c r="W102" s="76"/>
      <c r="X102" s="78" t="str">
        <f>IF(C102&lt;&gt;"",IF(P102="","请填写修读学期！","")&amp;IF(P102&gt;10,"超出修读期限！",""),"")</f>
        <v/>
      </c>
    </row>
    <row r="103" spans="1:24" ht="24.95" customHeight="1">
      <c r="A103" s="262" t="s">
        <v>61</v>
      </c>
      <c r="B103" s="262"/>
      <c r="C103" s="270"/>
      <c r="D103" s="270"/>
      <c r="E103" s="270"/>
      <c r="F103" s="270"/>
      <c r="G103" s="270"/>
      <c r="H103" s="270"/>
      <c r="I103" s="270"/>
      <c r="J103" s="180">
        <f>SUM(J98:J102)</f>
        <v>2</v>
      </c>
      <c r="K103" s="49">
        <f>SUM(K98:K102)</f>
        <v>2</v>
      </c>
      <c r="L103" s="49"/>
      <c r="M103" s="49"/>
      <c r="N103" s="49"/>
      <c r="O103" s="180">
        <f>COUNTIF(O98:O102,"√")</f>
        <v>0</v>
      </c>
      <c r="P103" s="49"/>
      <c r="Q103" s="35"/>
      <c r="R103" s="187"/>
      <c r="S103" s="187"/>
      <c r="T103" s="187"/>
      <c r="U103" s="187"/>
      <c r="V103" s="187"/>
      <c r="W103" s="56"/>
      <c r="X103" s="64"/>
    </row>
    <row r="104" spans="1:24" ht="21.95" customHeight="1">
      <c r="A104" s="265" t="str">
        <f>"    2.选修课（"&amp;SUMIF(R107:R116,"&gt;0",J107:J116)&amp;"）学分"</f>
        <v xml:space="preserve">    2.选修课（14）学分</v>
      </c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87"/>
      <c r="S104" s="87"/>
      <c r="T104" s="87"/>
      <c r="U104" s="87"/>
      <c r="V104" s="87"/>
      <c r="W104" s="87"/>
      <c r="X104" s="59"/>
    </row>
    <row r="105" spans="1:24" ht="18.75" customHeight="1">
      <c r="A105" s="281" t="s">
        <v>27</v>
      </c>
      <c r="B105" s="283"/>
      <c r="C105" s="281" t="s">
        <v>28</v>
      </c>
      <c r="D105" s="282"/>
      <c r="E105" s="282"/>
      <c r="F105" s="282"/>
      <c r="G105" s="282"/>
      <c r="H105" s="282"/>
      <c r="I105" s="283"/>
      <c r="J105" s="279" t="s">
        <v>29</v>
      </c>
      <c r="K105" s="266" t="s">
        <v>30</v>
      </c>
      <c r="L105" s="267"/>
      <c r="M105" s="267"/>
      <c r="N105" s="268"/>
      <c r="O105" s="279" t="s">
        <v>31</v>
      </c>
      <c r="P105" s="343" t="s">
        <v>32</v>
      </c>
      <c r="Q105" s="279" t="s">
        <v>33</v>
      </c>
      <c r="R105" s="346" t="s">
        <v>34</v>
      </c>
      <c r="S105" s="352" t="s">
        <v>35</v>
      </c>
      <c r="T105" s="352" t="s">
        <v>36</v>
      </c>
      <c r="U105" s="352" t="s">
        <v>37</v>
      </c>
      <c r="V105" s="352" t="s">
        <v>38</v>
      </c>
      <c r="W105" s="352" t="s">
        <v>39</v>
      </c>
      <c r="X105" s="348" t="s">
        <v>40</v>
      </c>
    </row>
    <row r="106" spans="1:24" ht="57" customHeight="1">
      <c r="A106" s="284"/>
      <c r="B106" s="286"/>
      <c r="C106" s="284"/>
      <c r="D106" s="285"/>
      <c r="E106" s="285"/>
      <c r="F106" s="285"/>
      <c r="G106" s="285"/>
      <c r="H106" s="285"/>
      <c r="I106" s="286"/>
      <c r="J106" s="280"/>
      <c r="K106" s="34" t="s">
        <v>41</v>
      </c>
      <c r="L106" s="34" t="s">
        <v>42</v>
      </c>
      <c r="M106" s="34" t="s">
        <v>43</v>
      </c>
      <c r="N106" s="34" t="s">
        <v>44</v>
      </c>
      <c r="O106" s="280"/>
      <c r="P106" s="344"/>
      <c r="Q106" s="280"/>
      <c r="R106" s="346"/>
      <c r="S106" s="353"/>
      <c r="T106" s="353"/>
      <c r="U106" s="353"/>
      <c r="V106" s="353"/>
      <c r="W106" s="353"/>
      <c r="X106" s="348"/>
    </row>
    <row r="107" spans="1:24" ht="33.75" customHeight="1">
      <c r="A107" s="259" t="s">
        <v>572</v>
      </c>
      <c r="B107" s="259"/>
      <c r="C107" s="292" t="s">
        <v>94</v>
      </c>
      <c r="D107" s="293" t="s">
        <v>95</v>
      </c>
      <c r="E107" s="293" t="s">
        <v>95</v>
      </c>
      <c r="F107" s="293" t="s">
        <v>95</v>
      </c>
      <c r="G107" s="293" t="s">
        <v>95</v>
      </c>
      <c r="H107" s="293" t="s">
        <v>95</v>
      </c>
      <c r="I107" s="293" t="s">
        <v>95</v>
      </c>
      <c r="J107" s="103">
        <v>3</v>
      </c>
      <c r="K107" s="103">
        <v>48</v>
      </c>
      <c r="L107" s="103">
        <v>48</v>
      </c>
      <c r="M107" s="190"/>
      <c r="N107" s="190"/>
      <c r="O107" s="190" t="s">
        <v>50</v>
      </c>
      <c r="P107" s="103">
        <v>3</v>
      </c>
      <c r="Q107" s="103"/>
      <c r="R107" s="124">
        <v>3</v>
      </c>
      <c r="S107" s="71">
        <f>IF(ISERROR(J107*L107/(L107+M107/2+N107/2)),"",J107*L107/(L107+M107/2+N107/2))</f>
        <v>3</v>
      </c>
      <c r="T107" s="71">
        <f>IF(ISERROR(J107*M107/2/(L107+M107/2+N107/2)),"",J107*M107/2/(L107+M107/2+N107/2))</f>
        <v>0</v>
      </c>
      <c r="U107" s="71">
        <f>IF(ISERROR(J107*N107/2/(L107+M107/2+N107/2)),"",J107*N107/2/(L107+M107/2+N107/2))</f>
        <v>0</v>
      </c>
      <c r="V107" s="72">
        <f>IF(O107="√",1,"")</f>
        <v>1</v>
      </c>
      <c r="W107" s="73"/>
      <c r="X107" s="74" t="str">
        <f>IF(J107="","",IF(ISERROR(IF(K107&lt;&gt;L107+M107+N107,"学时计算有误！","")&amp;IF(P107="","请填写修读学期！","")&amp;IF(P107&gt;10,"超出修读期限！","")&amp;IF(J107&lt;&gt;S107+T107+U107,"学分计算有误！","")),"",IF(K107&lt;&gt;L107+M107+N107,"学时计算有误！","")&amp;IF(P107="","请填写修读学期！","")&amp;IF(P107&gt;10,"超出修读期限！","")&amp;IF(J107&lt;&gt;S107+T107+U107,"学分计算有误！",""))&amp;IF(K107="","学时没填，影响学分统计！",""))</f>
        <v/>
      </c>
    </row>
    <row r="108" spans="1:24" ht="33.75" customHeight="1">
      <c r="A108" s="259" t="s">
        <v>562</v>
      </c>
      <c r="B108" s="259"/>
      <c r="C108" s="293" t="s">
        <v>96</v>
      </c>
      <c r="D108" s="293" t="s">
        <v>96</v>
      </c>
      <c r="E108" s="293" t="s">
        <v>96</v>
      </c>
      <c r="F108" s="293" t="s">
        <v>96</v>
      </c>
      <c r="G108" s="293" t="s">
        <v>96</v>
      </c>
      <c r="H108" s="293" t="s">
        <v>96</v>
      </c>
      <c r="I108" s="293" t="s">
        <v>96</v>
      </c>
      <c r="J108" s="190">
        <v>1</v>
      </c>
      <c r="K108" s="190">
        <v>24</v>
      </c>
      <c r="L108" s="190"/>
      <c r="M108" s="190">
        <v>24</v>
      </c>
      <c r="N108" s="190"/>
      <c r="O108" s="191"/>
      <c r="P108" s="103">
        <v>3</v>
      </c>
      <c r="Q108" s="103"/>
      <c r="R108" s="124">
        <v>3</v>
      </c>
      <c r="S108" s="71">
        <f>IF(ISERROR(J108*L108/(L108+M108/2+N108/2)),"",J108*L108/(L108+M108/2+N108/2))</f>
        <v>0</v>
      </c>
      <c r="T108" s="71">
        <f>IF(ISERROR(J108*M108/2/(L108+M108/2+N108/2)),"",J108*M108/2/(L108+M108/2+N108/2))</f>
        <v>1</v>
      </c>
      <c r="U108" s="71">
        <f>IF(ISERROR(J108*N108/2/(L108+M108/2+N108/2)),"",J108*N108/2/(L108+M108/2+N108/2))</f>
        <v>0</v>
      </c>
      <c r="V108" s="72" t="str">
        <f>IF(O108="√",1,"")</f>
        <v/>
      </c>
      <c r="W108" s="73"/>
      <c r="X108" s="74" t="str">
        <f>IF(J108="","",IF(ISERROR(IF(K108&lt;&gt;L108+M108+N108,"学时计算有误！","")&amp;IF(P108="","请填写修读学期！","")&amp;IF(P108&gt;10,"超出修读期限！","")&amp;IF(J108&lt;&gt;S108+T108+U108,"学分计算有误！","")),"",IF(K108&lt;&gt;L108+M108+N108,"学时计算有误！","")&amp;IF(P108="","请填写修读学期！","")&amp;IF(P108&gt;10,"超出修读期限！","")&amp;IF(J108&lt;&gt;S108+T108+U108,"学分计算有误！",""))&amp;IF(K108="","学时没填，影响学分统计！",""))</f>
        <v/>
      </c>
    </row>
    <row r="109" spans="1:24" ht="30.95" customHeight="1">
      <c r="A109" s="259" t="s">
        <v>574</v>
      </c>
      <c r="B109" s="259"/>
      <c r="C109" s="295" t="s">
        <v>573</v>
      </c>
      <c r="D109" s="295"/>
      <c r="E109" s="295"/>
      <c r="F109" s="295"/>
      <c r="G109" s="295"/>
      <c r="H109" s="295"/>
      <c r="I109" s="295"/>
      <c r="J109" s="103">
        <v>3</v>
      </c>
      <c r="K109" s="103">
        <v>48</v>
      </c>
      <c r="L109" s="103">
        <v>48</v>
      </c>
      <c r="M109" s="103"/>
      <c r="N109" s="103"/>
      <c r="O109" s="103"/>
      <c r="P109" s="197" t="s">
        <v>97</v>
      </c>
      <c r="Q109" s="95"/>
      <c r="R109" s="141"/>
      <c r="S109" s="71">
        <f>IF(ISERROR(J109*L109/(L109+M109/2+N109/2)),"",J109*L109/(L109+M109/2+N109/2))</f>
        <v>3</v>
      </c>
      <c r="T109" s="71">
        <f>IF(ISERROR(J109*M109/2/(L109+M109/2+N109/2)),"",J109*M109/2/(L109+M109/2+N109/2))</f>
        <v>0</v>
      </c>
      <c r="U109" s="71">
        <f>IF(ISERROR(J109*N109/2/(L109+M109/2+N109/2)),"",J109*N109/2/(L109+M109/2+N109/2))</f>
        <v>0</v>
      </c>
      <c r="V109" s="72"/>
      <c r="W109" s="72" t="str">
        <f>IF(O109="√",1,"")</f>
        <v/>
      </c>
      <c r="X109" s="74" t="str">
        <f>IF(J109="","",IF(K109="","学时没填，影响学分统计！",""))</f>
        <v/>
      </c>
    </row>
    <row r="110" spans="1:24" ht="36.950000000000003" customHeight="1">
      <c r="A110" s="276" t="s">
        <v>576</v>
      </c>
      <c r="B110" s="276"/>
      <c r="C110" s="293" t="s">
        <v>575</v>
      </c>
      <c r="D110" s="293"/>
      <c r="E110" s="293"/>
      <c r="F110" s="293"/>
      <c r="G110" s="293"/>
      <c r="H110" s="293"/>
      <c r="I110" s="293"/>
      <c r="J110" s="111">
        <v>2.5</v>
      </c>
      <c r="K110" s="111">
        <v>48</v>
      </c>
      <c r="L110" s="111">
        <v>32</v>
      </c>
      <c r="M110" s="111">
        <v>16</v>
      </c>
      <c r="N110" s="111"/>
      <c r="O110" s="111"/>
      <c r="P110" s="111">
        <v>4</v>
      </c>
      <c r="Q110" s="123"/>
      <c r="R110" s="124">
        <v>4</v>
      </c>
      <c r="S110" s="71">
        <f t="shared" ref="S110:S116" si="19">IF(ISERROR(J110*L110/(L110+M110/2+N110/2)),"",J110*L110/(L110+M110/2+N110/2))</f>
        <v>2</v>
      </c>
      <c r="T110" s="71">
        <f t="shared" ref="T110:T116" si="20">IF(ISERROR(J110*M110/2/(L110+M110/2+N110/2)),"",J110*M110/2/(L110+M110/2+N110/2))</f>
        <v>0.5</v>
      </c>
      <c r="U110" s="71">
        <f t="shared" ref="U110:U116" si="21">IF(ISERROR(J110*N110/2/(L110+M110/2+N110/2)),"",J110*N110/2/(L110+M110/2+N110/2))</f>
        <v>0</v>
      </c>
      <c r="V110" s="72"/>
      <c r="W110" s="184" t="str">
        <f>IF(O110="√",1,"")</f>
        <v/>
      </c>
      <c r="X110" s="74" t="str">
        <f t="shared" ref="X110:X116" si="22">IF(J110="","",IF(K110="","学时没填，影响学分统计！",""))</f>
        <v/>
      </c>
    </row>
    <row r="111" spans="1:24" ht="36" customHeight="1">
      <c r="A111" s="276" t="s">
        <v>578</v>
      </c>
      <c r="B111" s="276"/>
      <c r="C111" s="293" t="s">
        <v>577</v>
      </c>
      <c r="D111" s="293"/>
      <c r="E111" s="293"/>
      <c r="F111" s="293"/>
      <c r="G111" s="293"/>
      <c r="H111" s="293"/>
      <c r="I111" s="293"/>
      <c r="J111" s="111">
        <v>2.5</v>
      </c>
      <c r="K111" s="111">
        <v>48</v>
      </c>
      <c r="L111" s="111">
        <v>32</v>
      </c>
      <c r="M111" s="111">
        <v>16</v>
      </c>
      <c r="N111" s="111"/>
      <c r="O111" s="190" t="s">
        <v>50</v>
      </c>
      <c r="P111" s="198">
        <v>4</v>
      </c>
      <c r="Q111" s="123"/>
      <c r="R111" s="124">
        <v>4</v>
      </c>
      <c r="S111" s="71">
        <f t="shared" si="19"/>
        <v>2</v>
      </c>
      <c r="T111" s="71">
        <f t="shared" si="20"/>
        <v>0.5</v>
      </c>
      <c r="U111" s="71">
        <f t="shared" si="21"/>
        <v>0</v>
      </c>
      <c r="V111" s="72">
        <v>1</v>
      </c>
      <c r="W111" s="184"/>
      <c r="X111" s="74" t="str">
        <f t="shared" si="22"/>
        <v/>
      </c>
    </row>
    <row r="112" spans="1:24" ht="26.1" customHeight="1">
      <c r="A112" s="276" t="s">
        <v>580</v>
      </c>
      <c r="B112" s="276"/>
      <c r="C112" s="293" t="s">
        <v>579</v>
      </c>
      <c r="D112" s="293"/>
      <c r="E112" s="293"/>
      <c r="F112" s="293"/>
      <c r="G112" s="293"/>
      <c r="H112" s="293"/>
      <c r="I112" s="293"/>
      <c r="J112" s="111">
        <v>2</v>
      </c>
      <c r="K112" s="111">
        <v>32</v>
      </c>
      <c r="L112" s="111">
        <v>32</v>
      </c>
      <c r="M112" s="111"/>
      <c r="N112" s="111"/>
      <c r="O112" s="111"/>
      <c r="P112" s="111">
        <v>4</v>
      </c>
      <c r="Q112" s="123"/>
      <c r="R112" s="124"/>
      <c r="S112" s="71">
        <f t="shared" si="19"/>
        <v>2</v>
      </c>
      <c r="T112" s="71">
        <f t="shared" si="20"/>
        <v>0</v>
      </c>
      <c r="U112" s="71">
        <f t="shared" si="21"/>
        <v>0</v>
      </c>
      <c r="V112" s="72"/>
      <c r="W112" s="184" t="str">
        <f>IF(O112="√",1,"")</f>
        <v/>
      </c>
      <c r="X112" s="74" t="str">
        <f t="shared" si="22"/>
        <v/>
      </c>
    </row>
    <row r="113" spans="1:24" ht="30" customHeight="1">
      <c r="A113" s="276" t="s">
        <v>582</v>
      </c>
      <c r="B113" s="276"/>
      <c r="C113" s="293" t="s">
        <v>581</v>
      </c>
      <c r="D113" s="293"/>
      <c r="E113" s="293"/>
      <c r="F113" s="293"/>
      <c r="G113" s="293"/>
      <c r="H113" s="293"/>
      <c r="I113" s="293"/>
      <c r="J113" s="111">
        <v>2</v>
      </c>
      <c r="K113" s="111">
        <v>32</v>
      </c>
      <c r="L113" s="111">
        <v>32</v>
      </c>
      <c r="M113" s="111"/>
      <c r="N113" s="111"/>
      <c r="O113" s="111"/>
      <c r="P113" s="111">
        <v>5</v>
      </c>
      <c r="Q113" s="123"/>
      <c r="R113" s="124">
        <v>5</v>
      </c>
      <c r="S113" s="71">
        <f t="shared" si="19"/>
        <v>2</v>
      </c>
      <c r="T113" s="71">
        <f t="shared" si="20"/>
        <v>0</v>
      </c>
      <c r="U113" s="71">
        <f t="shared" si="21"/>
        <v>0</v>
      </c>
      <c r="V113" s="72"/>
      <c r="W113" s="184" t="str">
        <f>IF(O113="√",1,"")</f>
        <v/>
      </c>
      <c r="X113" s="74" t="str">
        <f t="shared" si="22"/>
        <v/>
      </c>
    </row>
    <row r="114" spans="1:24" ht="36" customHeight="1">
      <c r="A114" s="276" t="s">
        <v>584</v>
      </c>
      <c r="B114" s="276"/>
      <c r="C114" s="293" t="s">
        <v>583</v>
      </c>
      <c r="D114" s="293"/>
      <c r="E114" s="293"/>
      <c r="F114" s="293"/>
      <c r="G114" s="293"/>
      <c r="H114" s="293"/>
      <c r="I114" s="293"/>
      <c r="J114" s="111">
        <v>2</v>
      </c>
      <c r="K114" s="111">
        <v>48</v>
      </c>
      <c r="L114" s="111">
        <v>16</v>
      </c>
      <c r="M114" s="111">
        <v>32</v>
      </c>
      <c r="N114" s="111"/>
      <c r="O114" s="111"/>
      <c r="P114" s="111">
        <v>5</v>
      </c>
      <c r="Q114" s="123"/>
      <c r="R114" s="124">
        <v>5</v>
      </c>
      <c r="S114" s="71">
        <f t="shared" si="19"/>
        <v>1</v>
      </c>
      <c r="T114" s="71">
        <f t="shared" si="20"/>
        <v>1</v>
      </c>
      <c r="U114" s="71">
        <f t="shared" si="21"/>
        <v>0</v>
      </c>
      <c r="V114" s="72"/>
      <c r="W114" s="184" t="str">
        <f>IF(O114="√",1,"")</f>
        <v/>
      </c>
      <c r="X114" s="74" t="str">
        <f t="shared" si="22"/>
        <v/>
      </c>
    </row>
    <row r="115" spans="1:24" ht="27" customHeight="1">
      <c r="A115" s="276" t="s">
        <v>586</v>
      </c>
      <c r="B115" s="276"/>
      <c r="C115" s="293" t="s">
        <v>585</v>
      </c>
      <c r="D115" s="293"/>
      <c r="E115" s="293"/>
      <c r="F115" s="293"/>
      <c r="G115" s="293"/>
      <c r="H115" s="293"/>
      <c r="I115" s="293"/>
      <c r="J115" s="111">
        <v>2</v>
      </c>
      <c r="K115" s="111">
        <v>32</v>
      </c>
      <c r="L115" s="111">
        <v>32</v>
      </c>
      <c r="M115" s="111"/>
      <c r="N115" s="190"/>
      <c r="O115" s="190" t="s">
        <v>50</v>
      </c>
      <c r="P115" s="111">
        <v>5</v>
      </c>
      <c r="Q115" s="123"/>
      <c r="R115" s="124"/>
      <c r="S115" s="71">
        <f t="shared" si="19"/>
        <v>2</v>
      </c>
      <c r="T115" s="71">
        <f t="shared" si="20"/>
        <v>0</v>
      </c>
      <c r="U115" s="71">
        <f t="shared" si="21"/>
        <v>0</v>
      </c>
      <c r="V115" s="72"/>
      <c r="W115" s="184"/>
      <c r="X115" s="74" t="str">
        <f t="shared" si="22"/>
        <v/>
      </c>
    </row>
    <row r="116" spans="1:24" ht="36.950000000000003" customHeight="1">
      <c r="A116" s="276" t="s">
        <v>588</v>
      </c>
      <c r="B116" s="276"/>
      <c r="C116" s="293" t="s">
        <v>587</v>
      </c>
      <c r="D116" s="293"/>
      <c r="E116" s="293"/>
      <c r="F116" s="293"/>
      <c r="G116" s="293"/>
      <c r="H116" s="293"/>
      <c r="I116" s="293"/>
      <c r="J116" s="111">
        <v>1</v>
      </c>
      <c r="K116" s="111">
        <v>1</v>
      </c>
      <c r="L116" s="111"/>
      <c r="M116" s="111"/>
      <c r="N116" s="111">
        <v>1</v>
      </c>
      <c r="O116" s="111"/>
      <c r="P116" s="111">
        <v>4</v>
      </c>
      <c r="Q116" s="123"/>
      <c r="R116" s="124">
        <v>4</v>
      </c>
      <c r="S116" s="75">
        <f t="shared" si="19"/>
        <v>0</v>
      </c>
      <c r="T116" s="75">
        <f t="shared" si="20"/>
        <v>0</v>
      </c>
      <c r="U116" s="75">
        <f t="shared" si="21"/>
        <v>1</v>
      </c>
      <c r="V116" s="76"/>
      <c r="W116" s="203" t="str">
        <f>IF(O116="√",1,"")</f>
        <v/>
      </c>
      <c r="X116" s="78" t="str">
        <f t="shared" si="22"/>
        <v/>
      </c>
    </row>
    <row r="117" spans="1:24" ht="24.95" customHeight="1">
      <c r="A117" s="262" t="s">
        <v>61</v>
      </c>
      <c r="B117" s="262"/>
      <c r="C117" s="270" t="s">
        <v>74</v>
      </c>
      <c r="D117" s="270"/>
      <c r="E117" s="270"/>
      <c r="F117" s="270"/>
      <c r="G117" s="270"/>
      <c r="H117" s="270"/>
      <c r="I117" s="270"/>
      <c r="J117" s="95">
        <v>14</v>
      </c>
      <c r="K117" s="180"/>
      <c r="L117" s="180"/>
      <c r="M117" s="180"/>
      <c r="N117" s="180"/>
      <c r="O117" s="180">
        <f>COUNTIF(O104:O116,"√")</f>
        <v>3</v>
      </c>
      <c r="P117" s="199"/>
      <c r="Q117" s="35"/>
      <c r="R117" s="56"/>
      <c r="S117" s="56"/>
      <c r="T117" s="56"/>
      <c r="U117" s="56"/>
      <c r="V117" s="56"/>
      <c r="W117" s="56"/>
      <c r="X117" s="65" t="str">
        <f>IF(SUMIF(R107:R116,"&gt;0",J107:J116)=J117,"计划与实际选修学分一致！",IF(SUMIF(R107:R116,"&gt;0",J107:J116)&gt;J117,"实际比计划选修多"&amp;SUMIF(R107:R116,"&gt;0",J107:J116)-J117&amp;"学分!","选修缺"&amp;J117-SUMIF(R107:R116,"&gt;0",J107:J116)&amp;"学分!"))</f>
        <v>计划与实际选修学分一致！</v>
      </c>
    </row>
    <row r="118" spans="1:24" ht="21.95" customHeight="1">
      <c r="A118" s="265" t="str">
        <f>"    （四）专业教育课程平台（"&amp;J129+J137+SUMIF(R126:R165,"&gt;0",J126:J165)&amp;"学分）"</f>
        <v xml:space="preserve">    （四）专业教育课程平台（66学分）</v>
      </c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90"/>
      <c r="S118" s="90"/>
      <c r="T118" s="90"/>
      <c r="U118" s="90"/>
      <c r="V118" s="90"/>
      <c r="W118" s="90"/>
      <c r="X118" s="59"/>
    </row>
    <row r="119" spans="1:24" ht="21.95" customHeight="1">
      <c r="A119" s="265" t="str">
        <f>"    1.必修课（"&amp;J129+J137&amp;"）学分"</f>
        <v xml:space="preserve">    1.必修课（43）学分</v>
      </c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60"/>
      <c r="S119" s="60"/>
      <c r="T119" s="60"/>
      <c r="U119" s="60"/>
      <c r="V119" s="60"/>
      <c r="W119" s="60"/>
      <c r="X119" s="59"/>
    </row>
    <row r="120" spans="1:24" s="213" customFormat="1" ht="18.75" customHeight="1">
      <c r="A120" s="299" t="s">
        <v>27</v>
      </c>
      <c r="B120" s="299"/>
      <c r="C120" s="299" t="s">
        <v>28</v>
      </c>
      <c r="D120" s="299"/>
      <c r="E120" s="299"/>
      <c r="F120" s="299"/>
      <c r="G120" s="299"/>
      <c r="H120" s="299"/>
      <c r="I120" s="299"/>
      <c r="J120" s="299" t="s">
        <v>29</v>
      </c>
      <c r="K120" s="300" t="s">
        <v>30</v>
      </c>
      <c r="L120" s="300"/>
      <c r="M120" s="300"/>
      <c r="N120" s="300"/>
      <c r="O120" s="299" t="s">
        <v>31</v>
      </c>
      <c r="P120" s="345" t="s">
        <v>32</v>
      </c>
      <c r="Q120" s="299" t="s">
        <v>33</v>
      </c>
      <c r="R120" s="351" t="s">
        <v>34</v>
      </c>
      <c r="S120" s="354" t="s">
        <v>35</v>
      </c>
      <c r="T120" s="354" t="s">
        <v>36</v>
      </c>
      <c r="U120" s="354" t="s">
        <v>37</v>
      </c>
      <c r="V120" s="354" t="s">
        <v>38</v>
      </c>
      <c r="W120" s="354" t="s">
        <v>39</v>
      </c>
      <c r="X120" s="354" t="s">
        <v>40</v>
      </c>
    </row>
    <row r="121" spans="1:24" s="213" customFormat="1" ht="56.1" customHeight="1">
      <c r="A121" s="299"/>
      <c r="B121" s="299"/>
      <c r="C121" s="299"/>
      <c r="D121" s="299"/>
      <c r="E121" s="299"/>
      <c r="F121" s="299"/>
      <c r="G121" s="299"/>
      <c r="H121" s="299"/>
      <c r="I121" s="299"/>
      <c r="J121" s="299"/>
      <c r="K121" s="214" t="s">
        <v>41</v>
      </c>
      <c r="L121" s="214" t="s">
        <v>42</v>
      </c>
      <c r="M121" s="214" t="s">
        <v>43</v>
      </c>
      <c r="N121" s="214" t="s">
        <v>44</v>
      </c>
      <c r="O121" s="299"/>
      <c r="P121" s="345"/>
      <c r="Q121" s="299"/>
      <c r="R121" s="351"/>
      <c r="S121" s="354"/>
      <c r="T121" s="354"/>
      <c r="U121" s="354"/>
      <c r="V121" s="354"/>
      <c r="W121" s="354"/>
      <c r="X121" s="354"/>
    </row>
    <row r="122" spans="1:24" s="213" customFormat="1" ht="39.950000000000003" customHeight="1">
      <c r="A122" s="296" t="s">
        <v>590</v>
      </c>
      <c r="B122" s="296"/>
      <c r="C122" s="298" t="s">
        <v>589</v>
      </c>
      <c r="D122" s="298"/>
      <c r="E122" s="298"/>
      <c r="F122" s="298"/>
      <c r="G122" s="298"/>
      <c r="H122" s="298"/>
      <c r="I122" s="298"/>
      <c r="J122" s="215">
        <v>3</v>
      </c>
      <c r="K122" s="215">
        <v>48</v>
      </c>
      <c r="L122" s="215">
        <v>48</v>
      </c>
      <c r="M122" s="215"/>
      <c r="N122" s="215"/>
      <c r="O122" s="215" t="s">
        <v>50</v>
      </c>
      <c r="P122" s="215">
        <v>4</v>
      </c>
      <c r="Q122" s="222"/>
      <c r="R122" s="220"/>
      <c r="S122" s="219">
        <f t="shared" ref="S122:S128" si="23">IF(ISERROR(J122*L122/(L122+M122/2+N122/2)),"",J122*L122/(L122+M122/2+N122/2))</f>
        <v>3</v>
      </c>
      <c r="T122" s="219">
        <f t="shared" ref="T122:T128" si="24">IF(ISERROR(J122*M122/2/(L122+M122/2+N122/2)),"",J122*M122/2/(L122+M122/2+N122/2))</f>
        <v>0</v>
      </c>
      <c r="U122" s="219">
        <f t="shared" ref="U122:U128" si="25">IF(ISERROR(J122*N122/2/(L122+M122/2+N122/2)),"",J122*N122/2/(L122+M122/2+N122/2))</f>
        <v>0</v>
      </c>
      <c r="V122" s="220">
        <f>IF(O122="√",1,"")</f>
        <v>1</v>
      </c>
      <c r="W122" s="221"/>
      <c r="X122" s="221" t="str">
        <f>IF(J122="","",IF(ISERROR(IF(K122&lt;&gt;L122+M122+N122,"学时计算有误！","")&amp;IF(P122="","请填写修读学期！","")&amp;IF(P122&gt;10,"超出修读期限！","")&amp;IF(J122&lt;&gt;S122+T122+U122,"学分计算有误！","")),"",IF(K122&lt;&gt;L122+M122+N122,"学时计算有误！","")&amp;IF(P122="","请填写修读学期！","")&amp;IF(P122&gt;10,"超出修读期限！","")&amp;IF(J122&lt;&gt;S122+T122+U122,"学分计算有误！",""))&amp;IF(K122="","学时没填，影响学分统计！",""))</f>
        <v/>
      </c>
    </row>
    <row r="123" spans="1:24" s="213" customFormat="1" ht="29.1" customHeight="1">
      <c r="A123" s="296" t="s">
        <v>592</v>
      </c>
      <c r="B123" s="296"/>
      <c r="C123" s="298" t="s">
        <v>591</v>
      </c>
      <c r="D123" s="298"/>
      <c r="E123" s="298"/>
      <c r="F123" s="298"/>
      <c r="G123" s="298"/>
      <c r="H123" s="298"/>
      <c r="I123" s="298"/>
      <c r="J123" s="215">
        <v>3</v>
      </c>
      <c r="K123" s="215">
        <v>48</v>
      </c>
      <c r="L123" s="215">
        <v>48</v>
      </c>
      <c r="M123" s="215"/>
      <c r="N123" s="215"/>
      <c r="O123" s="215" t="s">
        <v>50</v>
      </c>
      <c r="P123" s="215">
        <v>5</v>
      </c>
      <c r="Q123" s="222"/>
      <c r="R123" s="220"/>
      <c r="S123" s="219">
        <f t="shared" si="23"/>
        <v>3</v>
      </c>
      <c r="T123" s="219">
        <f t="shared" si="24"/>
        <v>0</v>
      </c>
      <c r="U123" s="219">
        <f t="shared" si="25"/>
        <v>0</v>
      </c>
      <c r="V123" s="220">
        <f>IF(O123="√",1,"")</f>
        <v>1</v>
      </c>
      <c r="W123" s="221"/>
      <c r="X123" s="221" t="str">
        <f>IF(J123="","",IF(ISERROR(IF(K123&lt;&gt;L123+M123+N123,"学时计算有误！","")&amp;IF(P123="","请填写修读学期！","")&amp;IF(P123&gt;10,"超出修读期限！","")&amp;IF(J123&lt;&gt;S123+T123+U123,"学分计算有误！","")),"",IF(K123&lt;&gt;L123+M123+N123,"学时计算有误！","")&amp;IF(P123="","请填写修读学期！","")&amp;IF(P123&gt;10,"超出修读期限！","")&amp;IF(J123&lt;&gt;S123+T123+U123,"学分计算有误！",""))&amp;IF(K123="","学时没填，影响学分统计！",""))</f>
        <v/>
      </c>
    </row>
    <row r="124" spans="1:24" s="213" customFormat="1" ht="32.1" customHeight="1">
      <c r="A124" s="296" t="s">
        <v>594</v>
      </c>
      <c r="B124" s="296"/>
      <c r="C124" s="297" t="s">
        <v>593</v>
      </c>
      <c r="D124" s="298"/>
      <c r="E124" s="298"/>
      <c r="F124" s="298"/>
      <c r="G124" s="298"/>
      <c r="H124" s="298"/>
      <c r="I124" s="298"/>
      <c r="J124" s="215">
        <v>3</v>
      </c>
      <c r="K124" s="215">
        <v>48</v>
      </c>
      <c r="L124" s="215">
        <v>48</v>
      </c>
      <c r="M124" s="215"/>
      <c r="N124" s="215"/>
      <c r="O124" s="215" t="s">
        <v>50</v>
      </c>
      <c r="P124" s="215">
        <v>6</v>
      </c>
      <c r="Q124" s="222"/>
      <c r="R124" s="220"/>
      <c r="S124" s="219">
        <f t="shared" si="23"/>
        <v>3</v>
      </c>
      <c r="T124" s="219">
        <f t="shared" si="24"/>
        <v>0</v>
      </c>
      <c r="U124" s="219">
        <f t="shared" si="25"/>
        <v>0</v>
      </c>
      <c r="V124" s="220">
        <f>IF(O124="√",1,"")</f>
        <v>1</v>
      </c>
      <c r="W124" s="221"/>
      <c r="X124" s="221" t="str">
        <f>IF(J124="","",IF(ISERROR(IF(K124&lt;&gt;L124+M124+N124,"学时计算有误！","")&amp;IF(P124="","请填写修读学期！","")&amp;IF(P124&gt;10,"超出修读期限！","")&amp;IF(J124&lt;&gt;S124+T124+U124,"学分计算有误！","")),"",IF(K124&lt;&gt;L124+M124+N124,"学时计算有误！","")&amp;IF(P124="","请填写修读学期！","")&amp;IF(P124&gt;10,"超出修读期限！","")&amp;IF(J124&lt;&gt;S124+T124+U124,"学分计算有误！",""))&amp;IF(K124="","学时没填，影响学分统计！",""))</f>
        <v/>
      </c>
    </row>
    <row r="125" spans="1:24" s="213" customFormat="1" ht="24.95" customHeight="1">
      <c r="A125" s="296" t="s">
        <v>596</v>
      </c>
      <c r="B125" s="296"/>
      <c r="C125" s="298" t="s">
        <v>595</v>
      </c>
      <c r="D125" s="298"/>
      <c r="E125" s="298"/>
      <c r="F125" s="298"/>
      <c r="G125" s="298"/>
      <c r="H125" s="298"/>
      <c r="I125" s="298"/>
      <c r="J125" s="215">
        <v>3</v>
      </c>
      <c r="K125" s="215">
        <v>48</v>
      </c>
      <c r="L125" s="215">
        <v>48</v>
      </c>
      <c r="M125" s="215"/>
      <c r="N125" s="222"/>
      <c r="O125" s="215" t="s">
        <v>50</v>
      </c>
      <c r="P125" s="215">
        <v>6</v>
      </c>
      <c r="Q125" s="222"/>
      <c r="R125" s="220"/>
      <c r="S125" s="219">
        <f t="shared" si="23"/>
        <v>3</v>
      </c>
      <c r="T125" s="219">
        <f t="shared" si="24"/>
        <v>0</v>
      </c>
      <c r="U125" s="219">
        <f t="shared" si="25"/>
        <v>0</v>
      </c>
      <c r="V125" s="220">
        <f>IF(O125="√",1,"")</f>
        <v>1</v>
      </c>
      <c r="W125" s="221"/>
      <c r="X125" s="221" t="str">
        <f>IF(J125="","",IF(ISERROR(IF(K125&lt;&gt;L125+M125+N125,"学时计算有误！","")&amp;IF(P125="","请填写修读学期！","")&amp;IF(P125&gt;10,"超出修读期限！","")&amp;IF(J125&lt;&gt;S125+T125+U125,"学分计算有误！","")),"",IF(K125&lt;&gt;L125+M125+N125,"学时计算有误！","")&amp;IF(P125="","请填写修读学期！","")&amp;IF(P125&gt;10,"超出修读期限！","")&amp;IF(J125&lt;&gt;S125+T125+U125,"学分计算有误！",""))&amp;IF(K125="","学时没填，影响学分统计！",""))</f>
        <v/>
      </c>
    </row>
    <row r="126" spans="1:24" s="213" customFormat="1" ht="30.95" customHeight="1">
      <c r="A126" s="296" t="s">
        <v>598</v>
      </c>
      <c r="B126" s="296"/>
      <c r="C126" s="298" t="s">
        <v>597</v>
      </c>
      <c r="D126" s="298"/>
      <c r="E126" s="298"/>
      <c r="F126" s="298"/>
      <c r="G126" s="298"/>
      <c r="H126" s="298"/>
      <c r="I126" s="298"/>
      <c r="J126" s="215">
        <v>3</v>
      </c>
      <c r="K126" s="215">
        <v>48</v>
      </c>
      <c r="L126" s="215">
        <v>48</v>
      </c>
      <c r="M126" s="215"/>
      <c r="N126" s="215"/>
      <c r="O126" s="215" t="s">
        <v>50</v>
      </c>
      <c r="P126" s="216" t="s">
        <v>98</v>
      </c>
      <c r="Q126" s="217"/>
      <c r="R126" s="218"/>
      <c r="S126" s="219">
        <f t="shared" si="23"/>
        <v>3</v>
      </c>
      <c r="T126" s="219">
        <f t="shared" si="24"/>
        <v>0</v>
      </c>
      <c r="U126" s="219">
        <f t="shared" si="25"/>
        <v>0</v>
      </c>
      <c r="V126" s="220">
        <v>1</v>
      </c>
      <c r="W126" s="220"/>
      <c r="X126" s="221" t="str">
        <f>IF(J126="","",IF(K126="","学时没填，影响学分统计！",""))</f>
        <v/>
      </c>
    </row>
    <row r="127" spans="1:24" s="213" customFormat="1" ht="38.1" customHeight="1">
      <c r="A127" s="296" t="s">
        <v>600</v>
      </c>
      <c r="B127" s="296"/>
      <c r="C127" s="298" t="s">
        <v>599</v>
      </c>
      <c r="D127" s="298"/>
      <c r="E127" s="298"/>
      <c r="F127" s="298"/>
      <c r="G127" s="298"/>
      <c r="H127" s="298"/>
      <c r="I127" s="298"/>
      <c r="J127" s="215">
        <v>2</v>
      </c>
      <c r="K127" s="215">
        <v>32</v>
      </c>
      <c r="L127" s="215">
        <v>32</v>
      </c>
      <c r="M127" s="215"/>
      <c r="N127" s="215"/>
      <c r="O127" s="215" t="s">
        <v>50</v>
      </c>
      <c r="P127" s="216" t="s">
        <v>98</v>
      </c>
      <c r="Q127" s="217"/>
      <c r="R127" s="218"/>
      <c r="S127" s="219">
        <f t="shared" si="23"/>
        <v>2</v>
      </c>
      <c r="T127" s="219">
        <f t="shared" si="24"/>
        <v>0</v>
      </c>
      <c r="U127" s="219">
        <f t="shared" si="25"/>
        <v>0</v>
      </c>
      <c r="V127" s="220">
        <v>1</v>
      </c>
      <c r="W127" s="220"/>
      <c r="X127" s="221" t="str">
        <f>IF(J127="","",IF(K127="","学时没填，影响学分统计！",""))</f>
        <v/>
      </c>
    </row>
    <row r="128" spans="1:24" s="213" customFormat="1" ht="24.95" hidden="1" customHeight="1">
      <c r="A128" s="296"/>
      <c r="B128" s="296"/>
      <c r="C128" s="298"/>
      <c r="D128" s="298"/>
      <c r="E128" s="298"/>
      <c r="F128" s="298"/>
      <c r="G128" s="298"/>
      <c r="H128" s="298"/>
      <c r="I128" s="298"/>
      <c r="J128" s="215"/>
      <c r="K128" s="215"/>
      <c r="L128" s="215"/>
      <c r="M128" s="215"/>
      <c r="N128" s="215"/>
      <c r="O128" s="215"/>
      <c r="P128" s="215"/>
      <c r="Q128" s="222"/>
      <c r="R128" s="220"/>
      <c r="S128" s="225" t="str">
        <f t="shared" si="23"/>
        <v/>
      </c>
      <c r="T128" s="225" t="str">
        <f t="shared" si="24"/>
        <v/>
      </c>
      <c r="U128" s="225" t="str">
        <f t="shared" si="25"/>
        <v/>
      </c>
      <c r="V128" s="226" t="str">
        <f t="shared" ref="V128:V136" si="26">IF(O128="√",1,"")</f>
        <v/>
      </c>
      <c r="W128" s="227"/>
      <c r="X128" s="227" t="str">
        <f>IF(J128="","",IF(ISERROR(IF(K128&lt;&gt;L128+M128+N128,"学时计算有误！","")&amp;IF(P128="","请填写修读学期！","")&amp;IF(P128&gt;10,"超出修读期限！","")&amp;IF(J128&lt;&gt;S128+T128+U128,"学分计算有误！","")),"",IF(K128&lt;&gt;L128+M128+N128,"学时计算有误！","")&amp;IF(P128="","请填写修读学期！","")&amp;IF(P128&gt;10,"超出修读期限！","")&amp;IF(J128&lt;&gt;S128+T128+U128,"学分计算有误！",""))&amp;IF(K128="","学时没填，影响学分统计！",""))</f>
        <v/>
      </c>
    </row>
    <row r="129" spans="1:24" s="213" customFormat="1" ht="24.95" customHeight="1">
      <c r="A129" s="300" t="s">
        <v>61</v>
      </c>
      <c r="B129" s="300" t="s">
        <v>61</v>
      </c>
      <c r="C129" s="301"/>
      <c r="D129" s="301"/>
      <c r="E129" s="301"/>
      <c r="F129" s="301"/>
      <c r="G129" s="301"/>
      <c r="H129" s="301"/>
      <c r="I129" s="301"/>
      <c r="J129" s="234">
        <f>SUM(J122:J128)</f>
        <v>17</v>
      </c>
      <c r="K129" s="234">
        <f>SUM(K122:K128)</f>
        <v>272</v>
      </c>
      <c r="L129" s="234">
        <f>SUM(L122:L128)</f>
        <v>272</v>
      </c>
      <c r="M129" s="234">
        <f>SUM(M122:M128)</f>
        <v>0</v>
      </c>
      <c r="N129" s="234">
        <f>SUM(N122:N128)</f>
        <v>0</v>
      </c>
      <c r="O129" s="229">
        <f>COUNTIF(O122:O128,"√")</f>
        <v>6</v>
      </c>
      <c r="P129" s="234"/>
      <c r="Q129" s="228"/>
      <c r="R129" s="231"/>
      <c r="S129" s="235">
        <f>SUM(S122:S128)</f>
        <v>17</v>
      </c>
      <c r="T129" s="235">
        <f>SUM(T122:T128)</f>
        <v>0</v>
      </c>
      <c r="U129" s="235">
        <f>SUM(U122:U128)</f>
        <v>0</v>
      </c>
      <c r="V129" s="235"/>
      <c r="W129" s="236"/>
      <c r="X129" s="232" t="str">
        <f>IF(J129&lt;&gt;S129+T129+U129,"学分计算有误！","")</f>
        <v/>
      </c>
    </row>
    <row r="130" spans="1:24" s="213" customFormat="1" ht="36.950000000000003" customHeight="1">
      <c r="A130" s="296" t="s">
        <v>602</v>
      </c>
      <c r="B130" s="296"/>
      <c r="C130" s="298" t="s">
        <v>601</v>
      </c>
      <c r="D130" s="298"/>
      <c r="E130" s="298"/>
      <c r="F130" s="298"/>
      <c r="G130" s="298"/>
      <c r="H130" s="298"/>
      <c r="I130" s="298"/>
      <c r="J130" s="215">
        <v>1</v>
      </c>
      <c r="K130" s="215">
        <v>1</v>
      </c>
      <c r="L130" s="215"/>
      <c r="M130" s="233"/>
      <c r="N130" s="215">
        <v>1</v>
      </c>
      <c r="O130" s="215"/>
      <c r="P130" s="215">
        <v>4</v>
      </c>
      <c r="Q130" s="237"/>
      <c r="R130" s="221"/>
      <c r="S130" s="220"/>
      <c r="T130" s="220"/>
      <c r="U130" s="220"/>
      <c r="V130" s="220" t="str">
        <f t="shared" si="26"/>
        <v/>
      </c>
      <c r="W130" s="220"/>
      <c r="X130" s="221" t="str">
        <f t="shared" ref="X130:X136" si="27">IF(C130&lt;&gt;"",IF(P130="","请填写修读学期！","")&amp;IF(P130&gt;10,"超出修读期限！",""),"")</f>
        <v/>
      </c>
    </row>
    <row r="131" spans="1:24" s="213" customFormat="1" ht="24.95" customHeight="1">
      <c r="A131" s="296" t="s">
        <v>604</v>
      </c>
      <c r="B131" s="296"/>
      <c r="C131" s="298" t="s">
        <v>603</v>
      </c>
      <c r="D131" s="298"/>
      <c r="E131" s="298"/>
      <c r="F131" s="298"/>
      <c r="G131" s="298"/>
      <c r="H131" s="298"/>
      <c r="I131" s="298"/>
      <c r="J131" s="215">
        <v>1</v>
      </c>
      <c r="K131" s="215">
        <v>1</v>
      </c>
      <c r="L131" s="215"/>
      <c r="M131" s="233"/>
      <c r="N131" s="215">
        <v>1</v>
      </c>
      <c r="O131" s="215"/>
      <c r="P131" s="215">
        <v>5</v>
      </c>
      <c r="Q131" s="237"/>
      <c r="R131" s="221"/>
      <c r="S131" s="220"/>
      <c r="T131" s="220"/>
      <c r="U131" s="220"/>
      <c r="V131" s="220" t="str">
        <f t="shared" si="26"/>
        <v/>
      </c>
      <c r="W131" s="220"/>
      <c r="X131" s="221" t="str">
        <f t="shared" si="27"/>
        <v/>
      </c>
    </row>
    <row r="132" spans="1:24" s="213" customFormat="1" ht="36.950000000000003" customHeight="1">
      <c r="A132" s="296" t="s">
        <v>606</v>
      </c>
      <c r="B132" s="296"/>
      <c r="C132" s="298" t="s">
        <v>605</v>
      </c>
      <c r="D132" s="298"/>
      <c r="E132" s="298"/>
      <c r="F132" s="298"/>
      <c r="G132" s="298"/>
      <c r="H132" s="298"/>
      <c r="I132" s="298"/>
      <c r="J132" s="215">
        <v>1</v>
      </c>
      <c r="K132" s="215">
        <v>1</v>
      </c>
      <c r="L132" s="215"/>
      <c r="M132" s="233"/>
      <c r="N132" s="215">
        <v>1</v>
      </c>
      <c r="O132" s="215"/>
      <c r="P132" s="215">
        <v>6</v>
      </c>
      <c r="Q132" s="237"/>
      <c r="R132" s="221"/>
      <c r="S132" s="220"/>
      <c r="T132" s="220"/>
      <c r="U132" s="220"/>
      <c r="V132" s="220" t="str">
        <f t="shared" si="26"/>
        <v/>
      </c>
      <c r="W132" s="220"/>
      <c r="X132" s="221" t="str">
        <f t="shared" si="27"/>
        <v/>
      </c>
    </row>
    <row r="133" spans="1:24" s="213" customFormat="1" ht="36.950000000000003" customHeight="1">
      <c r="A133" s="296" t="s">
        <v>608</v>
      </c>
      <c r="B133" s="296"/>
      <c r="C133" s="298" t="s">
        <v>607</v>
      </c>
      <c r="D133" s="298"/>
      <c r="E133" s="298"/>
      <c r="F133" s="298"/>
      <c r="G133" s="298"/>
      <c r="H133" s="298"/>
      <c r="I133" s="298"/>
      <c r="J133" s="215">
        <v>1</v>
      </c>
      <c r="K133" s="215">
        <v>1</v>
      </c>
      <c r="L133" s="215"/>
      <c r="M133" s="233"/>
      <c r="N133" s="215">
        <v>1</v>
      </c>
      <c r="O133" s="215"/>
      <c r="P133" s="215">
        <v>6</v>
      </c>
      <c r="Q133" s="237"/>
      <c r="R133" s="221"/>
      <c r="S133" s="220"/>
      <c r="T133" s="220"/>
      <c r="U133" s="220"/>
      <c r="V133" s="220" t="str">
        <f t="shared" si="26"/>
        <v/>
      </c>
      <c r="W133" s="220"/>
      <c r="X133" s="221" t="str">
        <f t="shared" si="27"/>
        <v/>
      </c>
    </row>
    <row r="134" spans="1:24" s="213" customFormat="1" ht="39.950000000000003" customHeight="1">
      <c r="A134" s="296" t="s">
        <v>610</v>
      </c>
      <c r="B134" s="296"/>
      <c r="C134" s="298" t="s">
        <v>609</v>
      </c>
      <c r="D134" s="298"/>
      <c r="E134" s="298"/>
      <c r="F134" s="298"/>
      <c r="G134" s="298"/>
      <c r="H134" s="298"/>
      <c r="I134" s="298"/>
      <c r="J134" s="215">
        <v>2</v>
      </c>
      <c r="K134" s="215">
        <v>2</v>
      </c>
      <c r="L134" s="215"/>
      <c r="M134" s="233"/>
      <c r="N134" s="215">
        <v>2</v>
      </c>
      <c r="O134" s="215"/>
      <c r="P134" s="215">
        <v>7</v>
      </c>
      <c r="Q134" s="237"/>
      <c r="R134" s="221"/>
      <c r="S134" s="220"/>
      <c r="T134" s="220"/>
      <c r="U134" s="220"/>
      <c r="V134" s="220" t="str">
        <f t="shared" si="26"/>
        <v/>
      </c>
      <c r="W134" s="220"/>
      <c r="X134" s="221" t="str">
        <f t="shared" si="27"/>
        <v/>
      </c>
    </row>
    <row r="135" spans="1:24" s="213" customFormat="1" ht="24.95" customHeight="1">
      <c r="A135" s="296" t="s">
        <v>611</v>
      </c>
      <c r="B135" s="296"/>
      <c r="C135" s="298" t="s">
        <v>99</v>
      </c>
      <c r="D135" s="298"/>
      <c r="E135" s="298"/>
      <c r="F135" s="298"/>
      <c r="G135" s="298"/>
      <c r="H135" s="298"/>
      <c r="I135" s="298"/>
      <c r="J135" s="215">
        <v>8</v>
      </c>
      <c r="K135" s="215">
        <v>10</v>
      </c>
      <c r="L135" s="215"/>
      <c r="M135" s="233"/>
      <c r="N135" s="215">
        <v>10</v>
      </c>
      <c r="O135" s="215"/>
      <c r="P135" s="215">
        <v>7</v>
      </c>
      <c r="Q135" s="237"/>
      <c r="R135" s="221"/>
      <c r="S135" s="220"/>
      <c r="T135" s="220"/>
      <c r="U135" s="220"/>
      <c r="V135" s="220" t="str">
        <f t="shared" si="26"/>
        <v/>
      </c>
      <c r="W135" s="220"/>
      <c r="X135" s="221" t="str">
        <f t="shared" si="27"/>
        <v/>
      </c>
    </row>
    <row r="136" spans="1:24" s="213" customFormat="1" ht="24.95" customHeight="1">
      <c r="A136" s="296" t="s">
        <v>612</v>
      </c>
      <c r="B136" s="296"/>
      <c r="C136" s="298" t="s">
        <v>100</v>
      </c>
      <c r="D136" s="298"/>
      <c r="E136" s="298"/>
      <c r="F136" s="298"/>
      <c r="G136" s="298"/>
      <c r="H136" s="298"/>
      <c r="I136" s="298"/>
      <c r="J136" s="215">
        <v>12</v>
      </c>
      <c r="K136" s="215">
        <v>16</v>
      </c>
      <c r="L136" s="215"/>
      <c r="M136" s="233"/>
      <c r="N136" s="215">
        <v>16</v>
      </c>
      <c r="O136" s="215"/>
      <c r="P136" s="215">
        <v>8</v>
      </c>
      <c r="Q136" s="237"/>
      <c r="R136" s="221"/>
      <c r="S136" s="226"/>
      <c r="T136" s="226"/>
      <c r="U136" s="226"/>
      <c r="V136" s="226" t="str">
        <f t="shared" si="26"/>
        <v/>
      </c>
      <c r="W136" s="226"/>
      <c r="X136" s="227" t="str">
        <f t="shared" si="27"/>
        <v/>
      </c>
    </row>
    <row r="137" spans="1:24" s="213" customFormat="1" ht="24.95" customHeight="1">
      <c r="A137" s="300" t="s">
        <v>61</v>
      </c>
      <c r="B137" s="300"/>
      <c r="C137" s="301"/>
      <c r="D137" s="301"/>
      <c r="E137" s="301"/>
      <c r="F137" s="301"/>
      <c r="G137" s="301"/>
      <c r="H137" s="301"/>
      <c r="I137" s="301"/>
      <c r="J137" s="229">
        <f>SUM(J130:J136)</f>
        <v>26</v>
      </c>
      <c r="K137" s="234">
        <f>SUM(K130:K136)</f>
        <v>32</v>
      </c>
      <c r="L137" s="234"/>
      <c r="M137" s="234"/>
      <c r="N137" s="234"/>
      <c r="O137" s="229">
        <f>COUNTIF(O130:O136,"√")</f>
        <v>0</v>
      </c>
      <c r="P137" s="234"/>
      <c r="Q137" s="228"/>
      <c r="R137" s="231"/>
      <c r="S137" s="231"/>
      <c r="T137" s="231"/>
      <c r="U137" s="231"/>
      <c r="V137" s="231"/>
      <c r="W137" s="236"/>
      <c r="X137" s="236"/>
    </row>
    <row r="138" spans="1:24" ht="21.95" customHeight="1">
      <c r="A138" s="265" t="str">
        <f>"    2.选修课（"&amp;SUMIF(R126:R165,"&gt;0",J126:J165)&amp;"）学分"</f>
        <v xml:space="preserve">    2.选修课（23）学分</v>
      </c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87"/>
      <c r="S138" s="87"/>
      <c r="T138" s="87"/>
      <c r="U138" s="87"/>
      <c r="V138" s="87"/>
      <c r="W138" s="87"/>
      <c r="X138" s="59"/>
    </row>
    <row r="139" spans="1:24" s="213" customFormat="1" ht="18.75" customHeight="1">
      <c r="A139" s="304" t="s">
        <v>27</v>
      </c>
      <c r="B139" s="306"/>
      <c r="C139" s="304" t="s">
        <v>28</v>
      </c>
      <c r="D139" s="305"/>
      <c r="E139" s="305"/>
      <c r="F139" s="305"/>
      <c r="G139" s="305"/>
      <c r="H139" s="305"/>
      <c r="I139" s="306"/>
      <c r="J139" s="302" t="s">
        <v>29</v>
      </c>
      <c r="K139" s="310" t="s">
        <v>30</v>
      </c>
      <c r="L139" s="311"/>
      <c r="M139" s="311"/>
      <c r="N139" s="312"/>
      <c r="O139" s="302" t="s">
        <v>31</v>
      </c>
      <c r="P139" s="340" t="s">
        <v>32</v>
      </c>
      <c r="Q139" s="302" t="s">
        <v>33</v>
      </c>
      <c r="R139" s="351" t="s">
        <v>34</v>
      </c>
      <c r="S139" s="349" t="s">
        <v>35</v>
      </c>
      <c r="T139" s="349" t="s">
        <v>36</v>
      </c>
      <c r="U139" s="349" t="s">
        <v>37</v>
      </c>
      <c r="V139" s="349" t="s">
        <v>38</v>
      </c>
      <c r="W139" s="349" t="s">
        <v>39</v>
      </c>
      <c r="X139" s="354" t="s">
        <v>40</v>
      </c>
    </row>
    <row r="140" spans="1:24" s="213" customFormat="1" ht="60.95" customHeight="1">
      <c r="A140" s="307"/>
      <c r="B140" s="309"/>
      <c r="C140" s="307"/>
      <c r="D140" s="308"/>
      <c r="E140" s="308"/>
      <c r="F140" s="308"/>
      <c r="G140" s="308"/>
      <c r="H140" s="308"/>
      <c r="I140" s="309"/>
      <c r="J140" s="303"/>
      <c r="K140" s="214" t="s">
        <v>41</v>
      </c>
      <c r="L140" s="214" t="s">
        <v>42</v>
      </c>
      <c r="M140" s="214" t="s">
        <v>43</v>
      </c>
      <c r="N140" s="214" t="s">
        <v>44</v>
      </c>
      <c r="O140" s="303"/>
      <c r="P140" s="341"/>
      <c r="Q140" s="303"/>
      <c r="R140" s="351"/>
      <c r="S140" s="350"/>
      <c r="T140" s="350"/>
      <c r="U140" s="350"/>
      <c r="V140" s="350"/>
      <c r="W140" s="350"/>
      <c r="X140" s="354"/>
    </row>
    <row r="141" spans="1:24" s="213" customFormat="1" ht="27.95" customHeight="1">
      <c r="A141" s="296" t="s">
        <v>614</v>
      </c>
      <c r="B141" s="296"/>
      <c r="C141" s="298" t="s">
        <v>613</v>
      </c>
      <c r="D141" s="298"/>
      <c r="E141" s="298"/>
      <c r="F141" s="298"/>
      <c r="G141" s="298"/>
      <c r="H141" s="298"/>
      <c r="I141" s="298"/>
      <c r="J141" s="215">
        <v>2</v>
      </c>
      <c r="K141" s="215">
        <v>32</v>
      </c>
      <c r="L141" s="215">
        <v>32</v>
      </c>
      <c r="M141" s="215"/>
      <c r="N141" s="215"/>
      <c r="O141" s="215" t="s">
        <v>50</v>
      </c>
      <c r="P141" s="216" t="s">
        <v>101</v>
      </c>
      <c r="Q141" s="217"/>
      <c r="R141" s="218">
        <v>4</v>
      </c>
      <c r="S141" s="219">
        <f t="shared" ref="S141:S150" si="28">IF(ISERROR(J141*L141/(L141+M141/2+N141/2)),"",J141*L141/(L141+M141/2+N141/2))</f>
        <v>2</v>
      </c>
      <c r="T141" s="219">
        <f t="shared" ref="T141:T150" si="29">IF(ISERROR(J141*M141/2/(L141+M141/2+N141/2)),"",J141*M141/2/(L141+M141/2+N141/2))</f>
        <v>0</v>
      </c>
      <c r="U141" s="219">
        <f t="shared" ref="U141:U150" si="30">IF(ISERROR(J141*N141/2/(L141+M141/2+N141/2)),"",J141*N141/2/(L141+M141/2+N141/2))</f>
        <v>0</v>
      </c>
      <c r="V141" s="220"/>
      <c r="W141" s="220">
        <v>1</v>
      </c>
      <c r="X141" s="221" t="str">
        <f t="shared" ref="X141:X150" si="31">IF(J141="","",IF(K141="","学时没填，影响学分统计！",""))</f>
        <v/>
      </c>
    </row>
    <row r="142" spans="1:24" s="213" customFormat="1" ht="27" customHeight="1">
      <c r="A142" s="296" t="s">
        <v>616</v>
      </c>
      <c r="B142" s="296"/>
      <c r="C142" s="298" t="s">
        <v>615</v>
      </c>
      <c r="D142" s="298"/>
      <c r="E142" s="298"/>
      <c r="F142" s="298"/>
      <c r="G142" s="298"/>
      <c r="H142" s="298"/>
      <c r="I142" s="298"/>
      <c r="J142" s="215">
        <v>4</v>
      </c>
      <c r="K142" s="215">
        <v>64</v>
      </c>
      <c r="L142" s="215">
        <v>40</v>
      </c>
      <c r="M142" s="215">
        <v>24</v>
      </c>
      <c r="N142" s="215"/>
      <c r="O142" s="215" t="s">
        <v>50</v>
      </c>
      <c r="P142" s="216" t="s">
        <v>102</v>
      </c>
      <c r="Q142" s="217"/>
      <c r="R142" s="218">
        <v>5</v>
      </c>
      <c r="S142" s="219">
        <f t="shared" si="28"/>
        <v>3.0769230769230771</v>
      </c>
      <c r="T142" s="219">
        <f t="shared" si="29"/>
        <v>0.92307692307692313</v>
      </c>
      <c r="U142" s="219">
        <f t="shared" si="30"/>
        <v>0</v>
      </c>
      <c r="V142" s="220"/>
      <c r="W142" s="220">
        <v>1</v>
      </c>
      <c r="X142" s="221" t="str">
        <f t="shared" si="31"/>
        <v/>
      </c>
    </row>
    <row r="143" spans="1:24" s="213" customFormat="1" ht="29.1" customHeight="1">
      <c r="A143" s="296" t="s">
        <v>618</v>
      </c>
      <c r="B143" s="296"/>
      <c r="C143" s="298" t="s">
        <v>617</v>
      </c>
      <c r="D143" s="298"/>
      <c r="E143" s="298"/>
      <c r="F143" s="298"/>
      <c r="G143" s="298"/>
      <c r="H143" s="298"/>
      <c r="I143" s="298"/>
      <c r="J143" s="215">
        <v>2</v>
      </c>
      <c r="K143" s="215">
        <v>32</v>
      </c>
      <c r="L143" s="215">
        <v>32</v>
      </c>
      <c r="M143" s="215"/>
      <c r="N143" s="215"/>
      <c r="O143" s="215" t="s">
        <v>50</v>
      </c>
      <c r="P143" s="216" t="s">
        <v>102</v>
      </c>
      <c r="Q143" s="217"/>
      <c r="R143" s="218">
        <v>5</v>
      </c>
      <c r="S143" s="219">
        <f t="shared" si="28"/>
        <v>2</v>
      </c>
      <c r="T143" s="219">
        <f t="shared" si="29"/>
        <v>0</v>
      </c>
      <c r="U143" s="219">
        <f t="shared" si="30"/>
        <v>0</v>
      </c>
      <c r="V143" s="220"/>
      <c r="W143" s="220">
        <v>1</v>
      </c>
      <c r="X143" s="221" t="str">
        <f t="shared" si="31"/>
        <v/>
      </c>
    </row>
    <row r="144" spans="1:24" s="213" customFormat="1" ht="38.1" customHeight="1">
      <c r="A144" s="296" t="s">
        <v>620</v>
      </c>
      <c r="B144" s="296"/>
      <c r="C144" s="298" t="s">
        <v>619</v>
      </c>
      <c r="D144" s="298"/>
      <c r="E144" s="298"/>
      <c r="F144" s="298"/>
      <c r="G144" s="298"/>
      <c r="H144" s="298"/>
      <c r="I144" s="298"/>
      <c r="J144" s="215">
        <v>2</v>
      </c>
      <c r="K144" s="215">
        <v>32</v>
      </c>
      <c r="L144" s="215">
        <v>32</v>
      </c>
      <c r="M144" s="215"/>
      <c r="N144" s="215"/>
      <c r="O144" s="215"/>
      <c r="P144" s="216" t="s">
        <v>102</v>
      </c>
      <c r="Q144" s="217"/>
      <c r="R144" s="218">
        <v>5</v>
      </c>
      <c r="S144" s="219">
        <f t="shared" si="28"/>
        <v>2</v>
      </c>
      <c r="T144" s="219">
        <f t="shared" si="29"/>
        <v>0</v>
      </c>
      <c r="U144" s="219">
        <f t="shared" si="30"/>
        <v>0</v>
      </c>
      <c r="V144" s="220"/>
      <c r="W144" s="220" t="str">
        <f t="shared" ref="W144:W150" si="32">IF(O144="√",1,"")</f>
        <v/>
      </c>
      <c r="X144" s="221" t="str">
        <f t="shared" si="31"/>
        <v/>
      </c>
    </row>
    <row r="145" spans="1:24" s="213" customFormat="1" ht="27.95" customHeight="1">
      <c r="A145" s="296" t="s">
        <v>622</v>
      </c>
      <c r="B145" s="296"/>
      <c r="C145" s="298" t="s">
        <v>621</v>
      </c>
      <c r="D145" s="298"/>
      <c r="E145" s="298"/>
      <c r="F145" s="298"/>
      <c r="G145" s="298"/>
      <c r="H145" s="298"/>
      <c r="I145" s="298"/>
      <c r="J145" s="215">
        <v>2</v>
      </c>
      <c r="K145" s="215">
        <v>32</v>
      </c>
      <c r="L145" s="215">
        <v>32</v>
      </c>
      <c r="M145" s="215"/>
      <c r="N145" s="215"/>
      <c r="O145" s="215"/>
      <c r="P145" s="216" t="s">
        <v>102</v>
      </c>
      <c r="Q145" s="217"/>
      <c r="R145" s="218"/>
      <c r="S145" s="219">
        <f t="shared" si="28"/>
        <v>2</v>
      </c>
      <c r="T145" s="219">
        <f t="shared" si="29"/>
        <v>0</v>
      </c>
      <c r="U145" s="219">
        <f t="shared" si="30"/>
        <v>0</v>
      </c>
      <c r="V145" s="220"/>
      <c r="W145" s="220" t="str">
        <f t="shared" si="32"/>
        <v/>
      </c>
      <c r="X145" s="221" t="str">
        <f t="shared" si="31"/>
        <v/>
      </c>
    </row>
    <row r="146" spans="1:24" s="213" customFormat="1" ht="24.95" customHeight="1">
      <c r="A146" s="296" t="s">
        <v>624</v>
      </c>
      <c r="B146" s="296"/>
      <c r="C146" s="298" t="s">
        <v>623</v>
      </c>
      <c r="D146" s="298"/>
      <c r="E146" s="298"/>
      <c r="F146" s="298"/>
      <c r="G146" s="298"/>
      <c r="H146" s="298"/>
      <c r="I146" s="298"/>
      <c r="J146" s="215">
        <v>2</v>
      </c>
      <c r="K146" s="215">
        <v>32</v>
      </c>
      <c r="L146" s="215">
        <v>32</v>
      </c>
      <c r="M146" s="215"/>
      <c r="N146" s="215"/>
      <c r="O146" s="215"/>
      <c r="P146" s="216" t="s">
        <v>102</v>
      </c>
      <c r="Q146" s="217"/>
      <c r="R146" s="218"/>
      <c r="S146" s="219">
        <f t="shared" si="28"/>
        <v>2</v>
      </c>
      <c r="T146" s="219">
        <f t="shared" si="29"/>
        <v>0</v>
      </c>
      <c r="U146" s="219">
        <f t="shared" si="30"/>
        <v>0</v>
      </c>
      <c r="V146" s="220"/>
      <c r="W146" s="220" t="str">
        <f t="shared" si="32"/>
        <v/>
      </c>
      <c r="X146" s="221" t="str">
        <f t="shared" si="31"/>
        <v/>
      </c>
    </row>
    <row r="147" spans="1:24" s="213" customFormat="1" ht="36.950000000000003" customHeight="1">
      <c r="A147" s="296" t="s">
        <v>626</v>
      </c>
      <c r="B147" s="296"/>
      <c r="C147" s="298" t="s">
        <v>625</v>
      </c>
      <c r="D147" s="298"/>
      <c r="E147" s="298"/>
      <c r="F147" s="298"/>
      <c r="G147" s="298"/>
      <c r="H147" s="298"/>
      <c r="I147" s="298"/>
      <c r="J147" s="215">
        <v>2</v>
      </c>
      <c r="K147" s="215">
        <v>32</v>
      </c>
      <c r="L147" s="215">
        <v>32</v>
      </c>
      <c r="M147" s="215"/>
      <c r="N147" s="215"/>
      <c r="O147" s="215"/>
      <c r="P147" s="216" t="s">
        <v>102</v>
      </c>
      <c r="Q147" s="222"/>
      <c r="R147" s="218">
        <v>5</v>
      </c>
      <c r="S147" s="219">
        <f t="shared" si="28"/>
        <v>2</v>
      </c>
      <c r="T147" s="219">
        <f t="shared" si="29"/>
        <v>0</v>
      </c>
      <c r="U147" s="219">
        <f t="shared" si="30"/>
        <v>0</v>
      </c>
      <c r="V147" s="220"/>
      <c r="W147" s="220" t="str">
        <f t="shared" si="32"/>
        <v/>
      </c>
      <c r="X147" s="221" t="str">
        <f t="shared" si="31"/>
        <v/>
      </c>
    </row>
    <row r="148" spans="1:24" s="213" customFormat="1" ht="27" customHeight="1">
      <c r="A148" s="296" t="s">
        <v>628</v>
      </c>
      <c r="B148" s="296"/>
      <c r="C148" s="313" t="s">
        <v>627</v>
      </c>
      <c r="D148" s="313"/>
      <c r="E148" s="313"/>
      <c r="F148" s="313"/>
      <c r="G148" s="313"/>
      <c r="H148" s="313"/>
      <c r="I148" s="313"/>
      <c r="J148" s="215">
        <v>2</v>
      </c>
      <c r="K148" s="215">
        <v>32</v>
      </c>
      <c r="L148" s="215">
        <v>20</v>
      </c>
      <c r="M148" s="215">
        <v>12</v>
      </c>
      <c r="N148" s="215"/>
      <c r="O148" s="215"/>
      <c r="P148" s="216" t="s">
        <v>102</v>
      </c>
      <c r="Q148" s="217"/>
      <c r="R148" s="218"/>
      <c r="S148" s="219">
        <f t="shared" si="28"/>
        <v>1.5384615384615385</v>
      </c>
      <c r="T148" s="219">
        <f t="shared" si="29"/>
        <v>0.46153846153846156</v>
      </c>
      <c r="U148" s="219">
        <f t="shared" si="30"/>
        <v>0</v>
      </c>
      <c r="V148" s="220"/>
      <c r="W148" s="220" t="str">
        <f t="shared" si="32"/>
        <v/>
      </c>
      <c r="X148" s="221" t="str">
        <f t="shared" si="31"/>
        <v/>
      </c>
    </row>
    <row r="149" spans="1:24" s="213" customFormat="1" ht="27.95" customHeight="1">
      <c r="A149" s="296" t="s">
        <v>630</v>
      </c>
      <c r="B149" s="296"/>
      <c r="C149" s="313" t="s">
        <v>629</v>
      </c>
      <c r="D149" s="313"/>
      <c r="E149" s="313"/>
      <c r="F149" s="313"/>
      <c r="G149" s="313"/>
      <c r="H149" s="313"/>
      <c r="I149" s="313"/>
      <c r="J149" s="215">
        <v>2</v>
      </c>
      <c r="K149" s="215">
        <v>32</v>
      </c>
      <c r="L149" s="215">
        <v>32</v>
      </c>
      <c r="M149" s="215"/>
      <c r="N149" s="215"/>
      <c r="O149" s="215"/>
      <c r="P149" s="216" t="s">
        <v>102</v>
      </c>
      <c r="Q149" s="217"/>
      <c r="R149" s="218"/>
      <c r="S149" s="219">
        <f t="shared" si="28"/>
        <v>2</v>
      </c>
      <c r="T149" s="219">
        <f t="shared" si="29"/>
        <v>0</v>
      </c>
      <c r="U149" s="219">
        <f t="shared" si="30"/>
        <v>0</v>
      </c>
      <c r="V149" s="220"/>
      <c r="W149" s="220" t="str">
        <f t="shared" si="32"/>
        <v/>
      </c>
      <c r="X149" s="221" t="str">
        <f t="shared" si="31"/>
        <v/>
      </c>
    </row>
    <row r="150" spans="1:24" s="213" customFormat="1" ht="30" customHeight="1">
      <c r="A150" s="296" t="s">
        <v>632</v>
      </c>
      <c r="B150" s="296"/>
      <c r="C150" s="313" t="s">
        <v>631</v>
      </c>
      <c r="D150" s="313"/>
      <c r="E150" s="313"/>
      <c r="F150" s="313"/>
      <c r="G150" s="313"/>
      <c r="H150" s="313"/>
      <c r="I150" s="313"/>
      <c r="J150" s="223">
        <v>2</v>
      </c>
      <c r="K150" s="223">
        <v>32</v>
      </c>
      <c r="L150" s="223">
        <v>32</v>
      </c>
      <c r="M150" s="223"/>
      <c r="N150" s="223"/>
      <c r="O150" s="223"/>
      <c r="P150" s="224" t="s">
        <v>102</v>
      </c>
      <c r="Q150" s="217"/>
      <c r="R150" s="218"/>
      <c r="S150" s="219">
        <f t="shared" si="28"/>
        <v>2</v>
      </c>
      <c r="T150" s="219">
        <f t="shared" si="29"/>
        <v>0</v>
      </c>
      <c r="U150" s="219">
        <f t="shared" si="30"/>
        <v>0</v>
      </c>
      <c r="V150" s="220"/>
      <c r="W150" s="220" t="str">
        <f t="shared" si="32"/>
        <v/>
      </c>
      <c r="X150" s="221" t="str">
        <f t="shared" si="31"/>
        <v/>
      </c>
    </row>
    <row r="151" spans="1:24" s="213" customFormat="1" ht="36" customHeight="1">
      <c r="A151" s="296" t="s">
        <v>634</v>
      </c>
      <c r="B151" s="296"/>
      <c r="C151" s="313" t="s">
        <v>633</v>
      </c>
      <c r="D151" s="313"/>
      <c r="E151" s="313"/>
      <c r="F151" s="313"/>
      <c r="G151" s="313"/>
      <c r="H151" s="313"/>
      <c r="I151" s="313"/>
      <c r="J151" s="215">
        <v>2</v>
      </c>
      <c r="K151" s="215">
        <v>32</v>
      </c>
      <c r="L151" s="215">
        <v>32</v>
      </c>
      <c r="M151" s="215"/>
      <c r="N151" s="215"/>
      <c r="O151" s="215"/>
      <c r="P151" s="216" t="s">
        <v>98</v>
      </c>
      <c r="Q151" s="217"/>
      <c r="R151" s="218"/>
      <c r="S151" s="219">
        <f t="shared" ref="S151:S162" si="33">IF(ISERROR(J151*L151/(L151+M151/2+N151/2)),"",J151*L151/(L151+M151/2+N151/2))</f>
        <v>2</v>
      </c>
      <c r="T151" s="219">
        <f t="shared" ref="T151:T162" si="34">IF(ISERROR(J151*M151/2/(L151+M151/2+N151/2)),"",J151*M151/2/(L151+M151/2+N151/2))</f>
        <v>0</v>
      </c>
      <c r="U151" s="219">
        <f t="shared" ref="U151:U162" si="35">IF(ISERROR(J151*N151/2/(L151+M151/2+N151/2)),"",J151*N151/2/(L151+M151/2+N151/2))</f>
        <v>0</v>
      </c>
      <c r="V151" s="220"/>
      <c r="W151" s="220" t="str">
        <f t="shared" ref="W151:W162" si="36">IF(O151="√",1,"")</f>
        <v/>
      </c>
      <c r="X151" s="221" t="str">
        <f t="shared" ref="X151:X162" si="37">IF(J151="","",IF(K151="","学时没填，影响学分统计！",""))</f>
        <v/>
      </c>
    </row>
    <row r="152" spans="1:24" s="213" customFormat="1" ht="36" customHeight="1">
      <c r="A152" s="296" t="s">
        <v>636</v>
      </c>
      <c r="B152" s="296"/>
      <c r="C152" s="313" t="s">
        <v>635</v>
      </c>
      <c r="D152" s="313"/>
      <c r="E152" s="313"/>
      <c r="F152" s="313"/>
      <c r="G152" s="313"/>
      <c r="H152" s="313"/>
      <c r="I152" s="313"/>
      <c r="J152" s="215">
        <v>2</v>
      </c>
      <c r="K152" s="215">
        <v>32</v>
      </c>
      <c r="L152" s="215">
        <v>24</v>
      </c>
      <c r="M152" s="215">
        <v>8</v>
      </c>
      <c r="N152" s="215"/>
      <c r="O152" s="215"/>
      <c r="P152" s="216" t="s">
        <v>98</v>
      </c>
      <c r="Q152" s="217"/>
      <c r="R152" s="218"/>
      <c r="S152" s="219">
        <f t="shared" si="33"/>
        <v>1.7142857142857142</v>
      </c>
      <c r="T152" s="219">
        <f t="shared" si="34"/>
        <v>0.2857142857142857</v>
      </c>
      <c r="U152" s="219">
        <f t="shared" si="35"/>
        <v>0</v>
      </c>
      <c r="V152" s="220"/>
      <c r="W152" s="220" t="str">
        <f t="shared" si="36"/>
        <v/>
      </c>
      <c r="X152" s="221" t="str">
        <f t="shared" si="37"/>
        <v/>
      </c>
    </row>
    <row r="153" spans="1:24" s="213" customFormat="1" ht="36.950000000000003" customHeight="1">
      <c r="A153" s="296" t="s">
        <v>638</v>
      </c>
      <c r="B153" s="296"/>
      <c r="C153" s="313" t="s">
        <v>637</v>
      </c>
      <c r="D153" s="313"/>
      <c r="E153" s="313"/>
      <c r="F153" s="313"/>
      <c r="G153" s="313"/>
      <c r="H153" s="313"/>
      <c r="I153" s="313"/>
      <c r="J153" s="215">
        <v>2</v>
      </c>
      <c r="K153" s="215">
        <v>32</v>
      </c>
      <c r="L153" s="215">
        <v>20</v>
      </c>
      <c r="M153" s="215">
        <v>12</v>
      </c>
      <c r="N153" s="215"/>
      <c r="O153" s="215"/>
      <c r="P153" s="216" t="s">
        <v>98</v>
      </c>
      <c r="Q153" s="217"/>
      <c r="R153" s="218"/>
      <c r="S153" s="219">
        <f t="shared" si="33"/>
        <v>1.5384615384615385</v>
      </c>
      <c r="T153" s="219">
        <f t="shared" si="34"/>
        <v>0.46153846153846156</v>
      </c>
      <c r="U153" s="219">
        <f t="shared" si="35"/>
        <v>0</v>
      </c>
      <c r="V153" s="220"/>
      <c r="W153" s="220" t="str">
        <f t="shared" si="36"/>
        <v/>
      </c>
      <c r="X153" s="221" t="str">
        <f t="shared" si="37"/>
        <v/>
      </c>
    </row>
    <row r="154" spans="1:24" s="213" customFormat="1" ht="24.95" customHeight="1">
      <c r="A154" s="296" t="s">
        <v>640</v>
      </c>
      <c r="B154" s="296"/>
      <c r="C154" s="313" t="s">
        <v>639</v>
      </c>
      <c r="D154" s="313"/>
      <c r="E154" s="313"/>
      <c r="F154" s="313"/>
      <c r="G154" s="313"/>
      <c r="H154" s="313"/>
      <c r="I154" s="313"/>
      <c r="J154" s="215">
        <v>2</v>
      </c>
      <c r="K154" s="215">
        <v>32</v>
      </c>
      <c r="L154" s="215">
        <v>32</v>
      </c>
      <c r="M154" s="215"/>
      <c r="N154" s="215"/>
      <c r="O154" s="215"/>
      <c r="P154" s="216" t="s">
        <v>98</v>
      </c>
      <c r="Q154" s="217"/>
      <c r="R154" s="218"/>
      <c r="S154" s="219">
        <f t="shared" si="33"/>
        <v>2</v>
      </c>
      <c r="T154" s="219">
        <f t="shared" si="34"/>
        <v>0</v>
      </c>
      <c r="U154" s="219">
        <f t="shared" si="35"/>
        <v>0</v>
      </c>
      <c r="V154" s="220"/>
      <c r="W154" s="220" t="str">
        <f t="shared" si="36"/>
        <v/>
      </c>
      <c r="X154" s="221" t="str">
        <f t="shared" si="37"/>
        <v/>
      </c>
    </row>
    <row r="155" spans="1:24" s="213" customFormat="1" ht="45.95" customHeight="1">
      <c r="A155" s="296" t="s">
        <v>642</v>
      </c>
      <c r="B155" s="296"/>
      <c r="C155" s="313" t="s">
        <v>641</v>
      </c>
      <c r="D155" s="313"/>
      <c r="E155" s="313"/>
      <c r="F155" s="313"/>
      <c r="G155" s="313"/>
      <c r="H155" s="313"/>
      <c r="I155" s="313"/>
      <c r="J155" s="215">
        <v>2</v>
      </c>
      <c r="K155" s="215">
        <v>32</v>
      </c>
      <c r="L155" s="215">
        <v>24</v>
      </c>
      <c r="M155" s="215">
        <v>8</v>
      </c>
      <c r="N155" s="215"/>
      <c r="O155" s="215"/>
      <c r="P155" s="216" t="s">
        <v>98</v>
      </c>
      <c r="Q155" s="222"/>
      <c r="R155" s="218">
        <v>6</v>
      </c>
      <c r="S155" s="219">
        <f t="shared" si="33"/>
        <v>1.7142857142857142</v>
      </c>
      <c r="T155" s="219">
        <f t="shared" si="34"/>
        <v>0.2857142857142857</v>
      </c>
      <c r="U155" s="219">
        <f t="shared" si="35"/>
        <v>0</v>
      </c>
      <c r="V155" s="220"/>
      <c r="W155" s="220" t="str">
        <f t="shared" si="36"/>
        <v/>
      </c>
      <c r="X155" s="221" t="str">
        <f t="shared" si="37"/>
        <v/>
      </c>
    </row>
    <row r="156" spans="1:24" s="213" customFormat="1" ht="30" customHeight="1">
      <c r="A156" s="296" t="s">
        <v>644</v>
      </c>
      <c r="B156" s="296"/>
      <c r="C156" s="313" t="s">
        <v>643</v>
      </c>
      <c r="D156" s="313"/>
      <c r="E156" s="313"/>
      <c r="F156" s="313"/>
      <c r="G156" s="313"/>
      <c r="H156" s="313"/>
      <c r="I156" s="313"/>
      <c r="J156" s="223">
        <v>2</v>
      </c>
      <c r="K156" s="223">
        <v>32</v>
      </c>
      <c r="L156" s="223">
        <v>32</v>
      </c>
      <c r="M156" s="223"/>
      <c r="N156" s="223"/>
      <c r="O156" s="223"/>
      <c r="P156" s="224" t="s">
        <v>98</v>
      </c>
      <c r="Q156" s="217"/>
      <c r="R156" s="218">
        <v>6</v>
      </c>
      <c r="S156" s="219">
        <f t="shared" si="33"/>
        <v>2</v>
      </c>
      <c r="T156" s="219">
        <f t="shared" si="34"/>
        <v>0</v>
      </c>
      <c r="U156" s="219">
        <f t="shared" si="35"/>
        <v>0</v>
      </c>
      <c r="V156" s="220"/>
      <c r="W156" s="220" t="str">
        <f t="shared" si="36"/>
        <v/>
      </c>
      <c r="X156" s="221" t="str">
        <f t="shared" si="37"/>
        <v/>
      </c>
    </row>
    <row r="157" spans="1:24" s="213" customFormat="1" ht="24.95" customHeight="1">
      <c r="A157" s="296" t="s">
        <v>646</v>
      </c>
      <c r="B157" s="296"/>
      <c r="C157" s="313" t="s">
        <v>645</v>
      </c>
      <c r="D157" s="313"/>
      <c r="E157" s="313"/>
      <c r="F157" s="313"/>
      <c r="G157" s="313"/>
      <c r="H157" s="313"/>
      <c r="I157" s="313"/>
      <c r="J157" s="223">
        <v>2</v>
      </c>
      <c r="K157" s="223">
        <v>32</v>
      </c>
      <c r="L157" s="223">
        <v>32</v>
      </c>
      <c r="M157" s="223"/>
      <c r="N157" s="223"/>
      <c r="O157" s="223"/>
      <c r="P157" s="224" t="s">
        <v>98</v>
      </c>
      <c r="Q157" s="217"/>
      <c r="R157" s="218"/>
      <c r="S157" s="219">
        <f t="shared" si="33"/>
        <v>2</v>
      </c>
      <c r="T157" s="219">
        <f t="shared" si="34"/>
        <v>0</v>
      </c>
      <c r="U157" s="219">
        <f t="shared" si="35"/>
        <v>0</v>
      </c>
      <c r="V157" s="220"/>
      <c r="W157" s="220" t="str">
        <f t="shared" si="36"/>
        <v/>
      </c>
      <c r="X157" s="221" t="str">
        <f t="shared" si="37"/>
        <v/>
      </c>
    </row>
    <row r="158" spans="1:24" s="213" customFormat="1" ht="39" customHeight="1">
      <c r="A158" s="296" t="s">
        <v>648</v>
      </c>
      <c r="B158" s="296"/>
      <c r="C158" s="313" t="s">
        <v>647</v>
      </c>
      <c r="D158" s="313"/>
      <c r="E158" s="313"/>
      <c r="F158" s="313"/>
      <c r="G158" s="313"/>
      <c r="H158" s="313"/>
      <c r="I158" s="313"/>
      <c r="J158" s="215">
        <v>2</v>
      </c>
      <c r="K158" s="215">
        <v>32</v>
      </c>
      <c r="L158" s="215">
        <v>32</v>
      </c>
      <c r="M158" s="215"/>
      <c r="N158" s="215"/>
      <c r="O158" s="215"/>
      <c r="P158" s="216" t="s">
        <v>103</v>
      </c>
      <c r="Q158" s="217"/>
      <c r="R158" s="218"/>
      <c r="S158" s="219">
        <f t="shared" si="33"/>
        <v>2</v>
      </c>
      <c r="T158" s="219">
        <f t="shared" si="34"/>
        <v>0</v>
      </c>
      <c r="U158" s="219">
        <f t="shared" si="35"/>
        <v>0</v>
      </c>
      <c r="V158" s="220"/>
      <c r="W158" s="220" t="str">
        <f t="shared" si="36"/>
        <v/>
      </c>
      <c r="X158" s="221" t="str">
        <f t="shared" si="37"/>
        <v/>
      </c>
    </row>
    <row r="159" spans="1:24" s="213" customFormat="1" ht="39" customHeight="1">
      <c r="A159" s="296" t="s">
        <v>650</v>
      </c>
      <c r="B159" s="296"/>
      <c r="C159" s="313" t="s">
        <v>649</v>
      </c>
      <c r="D159" s="313"/>
      <c r="E159" s="313"/>
      <c r="F159" s="313"/>
      <c r="G159" s="313"/>
      <c r="H159" s="313"/>
      <c r="I159" s="313"/>
      <c r="J159" s="215">
        <v>2</v>
      </c>
      <c r="K159" s="215">
        <v>32</v>
      </c>
      <c r="L159" s="215">
        <v>32</v>
      </c>
      <c r="M159" s="215"/>
      <c r="N159" s="215"/>
      <c r="O159" s="215" t="s">
        <v>50</v>
      </c>
      <c r="P159" s="216" t="s">
        <v>103</v>
      </c>
      <c r="Q159" s="217"/>
      <c r="R159" s="218">
        <v>7</v>
      </c>
      <c r="S159" s="219">
        <f t="shared" si="33"/>
        <v>2</v>
      </c>
      <c r="T159" s="219">
        <f t="shared" si="34"/>
        <v>0</v>
      </c>
      <c r="U159" s="219">
        <f t="shared" si="35"/>
        <v>0</v>
      </c>
      <c r="V159" s="220"/>
      <c r="W159" s="220">
        <f t="shared" si="36"/>
        <v>1</v>
      </c>
      <c r="X159" s="221" t="str">
        <f t="shared" si="37"/>
        <v/>
      </c>
    </row>
    <row r="160" spans="1:24" s="213" customFormat="1" ht="30" customHeight="1">
      <c r="A160" s="296" t="s">
        <v>652</v>
      </c>
      <c r="B160" s="296"/>
      <c r="C160" s="313" t="s">
        <v>651</v>
      </c>
      <c r="D160" s="313"/>
      <c r="E160" s="313"/>
      <c r="F160" s="313"/>
      <c r="G160" s="313"/>
      <c r="H160" s="313"/>
      <c r="I160" s="313"/>
      <c r="J160" s="223">
        <v>2</v>
      </c>
      <c r="K160" s="223">
        <v>32</v>
      </c>
      <c r="L160" s="223">
        <v>32</v>
      </c>
      <c r="M160" s="223"/>
      <c r="N160" s="223"/>
      <c r="O160" s="223"/>
      <c r="P160" s="224" t="s">
        <v>103</v>
      </c>
      <c r="Q160" s="217"/>
      <c r="R160" s="218">
        <v>7</v>
      </c>
      <c r="S160" s="219">
        <f t="shared" si="33"/>
        <v>2</v>
      </c>
      <c r="T160" s="219">
        <f t="shared" si="34"/>
        <v>0</v>
      </c>
      <c r="U160" s="219">
        <f t="shared" si="35"/>
        <v>0</v>
      </c>
      <c r="V160" s="220"/>
      <c r="W160" s="220" t="str">
        <f t="shared" si="36"/>
        <v/>
      </c>
      <c r="X160" s="221" t="str">
        <f t="shared" si="37"/>
        <v/>
      </c>
    </row>
    <row r="161" spans="1:253" s="213" customFormat="1" ht="36.950000000000003" customHeight="1">
      <c r="A161" s="296" t="s">
        <v>654</v>
      </c>
      <c r="B161" s="296"/>
      <c r="C161" s="313" t="s">
        <v>653</v>
      </c>
      <c r="D161" s="313"/>
      <c r="E161" s="313"/>
      <c r="F161" s="313"/>
      <c r="G161" s="313"/>
      <c r="H161" s="313"/>
      <c r="I161" s="313"/>
      <c r="J161" s="223">
        <v>2</v>
      </c>
      <c r="K161" s="223">
        <v>32</v>
      </c>
      <c r="L161" s="223">
        <v>32</v>
      </c>
      <c r="M161" s="223"/>
      <c r="N161" s="223"/>
      <c r="O161" s="223"/>
      <c r="P161" s="224" t="s">
        <v>103</v>
      </c>
      <c r="Q161" s="217"/>
      <c r="R161" s="218">
        <v>7</v>
      </c>
      <c r="S161" s="219">
        <f t="shared" si="33"/>
        <v>2</v>
      </c>
      <c r="T161" s="219">
        <f t="shared" si="34"/>
        <v>0</v>
      </c>
      <c r="U161" s="219">
        <f t="shared" si="35"/>
        <v>0</v>
      </c>
      <c r="V161" s="220"/>
      <c r="W161" s="220" t="str">
        <f t="shared" si="36"/>
        <v/>
      </c>
      <c r="X161" s="221" t="str">
        <f t="shared" si="37"/>
        <v/>
      </c>
    </row>
    <row r="162" spans="1:253" s="213" customFormat="1" ht="24.95" customHeight="1">
      <c r="A162" s="314"/>
      <c r="B162" s="314"/>
      <c r="C162" s="298"/>
      <c r="D162" s="298"/>
      <c r="E162" s="298"/>
      <c r="F162" s="298"/>
      <c r="G162" s="298"/>
      <c r="H162" s="298"/>
      <c r="I162" s="298"/>
      <c r="J162" s="215"/>
      <c r="K162" s="215"/>
      <c r="L162" s="215"/>
      <c r="M162" s="215"/>
      <c r="N162" s="215"/>
      <c r="O162" s="215"/>
      <c r="P162" s="216"/>
      <c r="Q162" s="222"/>
      <c r="R162" s="218"/>
      <c r="S162" s="225" t="str">
        <f t="shared" si="33"/>
        <v/>
      </c>
      <c r="T162" s="225" t="str">
        <f t="shared" si="34"/>
        <v/>
      </c>
      <c r="U162" s="225" t="str">
        <f t="shared" si="35"/>
        <v/>
      </c>
      <c r="V162" s="226"/>
      <c r="W162" s="226" t="str">
        <f t="shared" si="36"/>
        <v/>
      </c>
      <c r="X162" s="227" t="str">
        <f t="shared" si="37"/>
        <v/>
      </c>
    </row>
    <row r="163" spans="1:253" s="213" customFormat="1" ht="24.95" customHeight="1">
      <c r="A163" s="300" t="s">
        <v>61</v>
      </c>
      <c r="B163" s="300"/>
      <c r="C163" s="301" t="s">
        <v>104</v>
      </c>
      <c r="D163" s="301"/>
      <c r="E163" s="301"/>
      <c r="F163" s="301"/>
      <c r="G163" s="301"/>
      <c r="H163" s="301"/>
      <c r="I163" s="301"/>
      <c r="J163" s="215">
        <v>22</v>
      </c>
      <c r="K163" s="229"/>
      <c r="L163" s="229"/>
      <c r="M163" s="229"/>
      <c r="N163" s="229"/>
      <c r="O163" s="229">
        <f>COUNTIF(O126:O162,"√")</f>
        <v>6</v>
      </c>
      <c r="P163" s="230"/>
      <c r="Q163" s="229"/>
      <c r="R163" s="231"/>
      <c r="S163" s="231"/>
      <c r="T163" s="231"/>
      <c r="U163" s="231"/>
      <c r="V163" s="231"/>
      <c r="W163" s="231"/>
      <c r="X163" s="232" t="str">
        <f>IF(SUMIF(R126:R162,"&gt;0",J126:J162)=J163,"计划与实际选修学分一致！",IF(SUMIF(R126:R162,"&gt;0",J126:J162)&gt;J163,"实际比计划选修多"&amp;SUMIF(R126:R162,"&gt;0",J126:J162)-J163&amp;"学分!","选修缺"&amp;J163-SUMIF(R126:R162,"&gt;0",J126:J162)&amp;"学分!"))</f>
        <v>计划与实际选修学分一致！</v>
      </c>
    </row>
    <row r="164" spans="1:253" s="213" customFormat="1" ht="36.950000000000003" customHeight="1">
      <c r="A164" s="296" t="s">
        <v>656</v>
      </c>
      <c r="B164" s="296"/>
      <c r="C164" s="298" t="s">
        <v>655</v>
      </c>
      <c r="D164" s="298"/>
      <c r="E164" s="298"/>
      <c r="F164" s="298"/>
      <c r="G164" s="298"/>
      <c r="H164" s="298"/>
      <c r="I164" s="298"/>
      <c r="J164" s="215">
        <v>1</v>
      </c>
      <c r="K164" s="215">
        <v>1</v>
      </c>
      <c r="L164" s="215"/>
      <c r="M164" s="233"/>
      <c r="N164" s="215">
        <v>1</v>
      </c>
      <c r="O164" s="215"/>
      <c r="P164" s="215">
        <v>5</v>
      </c>
      <c r="Q164" s="233"/>
      <c r="R164" s="218">
        <v>5</v>
      </c>
      <c r="S164" s="220"/>
      <c r="T164" s="220"/>
      <c r="U164" s="220"/>
      <c r="V164" s="220"/>
      <c r="W164" s="220" t="str">
        <f>IF(O164="√",1,"")</f>
        <v/>
      </c>
      <c r="X164" s="221" t="str">
        <f>IF(J164="","",IF(K164="","学时没填，影响学分统计！",""))</f>
        <v/>
      </c>
    </row>
    <row r="165" spans="1:253" s="213" customFormat="1" ht="27" customHeight="1">
      <c r="A165" s="296" t="s">
        <v>658</v>
      </c>
      <c r="B165" s="296"/>
      <c r="C165" s="298" t="s">
        <v>657</v>
      </c>
      <c r="D165" s="298"/>
      <c r="E165" s="298"/>
      <c r="F165" s="298"/>
      <c r="G165" s="298"/>
      <c r="H165" s="298"/>
      <c r="I165" s="298"/>
      <c r="J165" s="215">
        <v>1</v>
      </c>
      <c r="K165" s="215">
        <v>1</v>
      </c>
      <c r="L165" s="215"/>
      <c r="M165" s="233"/>
      <c r="N165" s="215">
        <v>1</v>
      </c>
      <c r="O165" s="215"/>
      <c r="P165" s="215">
        <v>7</v>
      </c>
      <c r="Q165" s="233"/>
      <c r="R165" s="221"/>
      <c r="S165" s="226"/>
      <c r="T165" s="226"/>
      <c r="U165" s="226"/>
      <c r="V165" s="226"/>
      <c r="W165" s="226" t="str">
        <f>IF(O165="√",1,"")</f>
        <v/>
      </c>
      <c r="X165" s="227" t="str">
        <f>IF(J165="","",IF(K165="","学时没填，影响学分统计！",""))</f>
        <v/>
      </c>
    </row>
    <row r="166" spans="1:253" ht="28.5" customHeight="1">
      <c r="A166" s="262" t="s">
        <v>61</v>
      </c>
      <c r="B166" s="262"/>
      <c r="C166" s="270" t="s">
        <v>105</v>
      </c>
      <c r="D166" s="270"/>
      <c r="E166" s="270"/>
      <c r="F166" s="270"/>
      <c r="G166" s="270"/>
      <c r="H166" s="270"/>
      <c r="I166" s="270"/>
      <c r="J166" s="204">
        <v>1</v>
      </c>
      <c r="K166" s="49">
        <f>SUM(K164:K165)</f>
        <v>2</v>
      </c>
      <c r="L166" s="49"/>
      <c r="M166" s="49"/>
      <c r="N166" s="49"/>
      <c r="O166" s="180">
        <f>COUNTIF(O164:O165,"√")</f>
        <v>0</v>
      </c>
      <c r="P166" s="49"/>
      <c r="Q166" s="180"/>
      <c r="R166" s="187"/>
      <c r="S166" s="187"/>
      <c r="T166" s="187"/>
      <c r="U166" s="187"/>
      <c r="V166" s="187"/>
      <c r="W166" s="206"/>
      <c r="X166" s="65" t="str">
        <f>IF(SUMIF(R164:R165,"&gt;0",J164:J165)=J166,"计划与实际选修学分一致！",IF(SUMIF(R164:R165,"&gt;0",J164:J165)&gt;J166,"实际比计划选修多"&amp;SUMIF(R164:R165,"&gt;0",J164:J165)-J166&amp;"学分!","选修缺"&amp;J166-SUMIF(R164:R165,"&gt;0",J164:J165)&amp;"学分!"))</f>
        <v>计划与实际选修学分一致！</v>
      </c>
    </row>
    <row r="167" spans="1:253" s="26" customFormat="1" ht="32.25" customHeight="1">
      <c r="A167" s="315" t="s">
        <v>106</v>
      </c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151"/>
      <c r="S167" s="151"/>
      <c r="T167" s="151"/>
      <c r="U167" s="151"/>
      <c r="V167" s="151"/>
      <c r="W167" s="151"/>
      <c r="X167" s="151"/>
      <c r="Y167" s="151"/>
      <c r="Z167" s="152"/>
      <c r="AA167" s="151"/>
      <c r="AB167" s="151"/>
      <c r="AC167" s="151"/>
      <c r="AD167" s="151"/>
      <c r="AE167" s="151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  <c r="AU167" s="316"/>
      <c r="AV167" s="316"/>
      <c r="AW167" s="316"/>
      <c r="AX167" s="316"/>
      <c r="AY167" s="316"/>
      <c r="AZ167" s="316"/>
      <c r="BA167" s="316"/>
      <c r="BB167" s="316"/>
      <c r="BC167" s="316"/>
      <c r="BD167" s="316"/>
      <c r="BE167" s="316"/>
      <c r="BF167" s="316"/>
      <c r="BG167" s="316"/>
      <c r="BH167" s="316"/>
      <c r="BI167" s="316"/>
      <c r="BJ167" s="316"/>
      <c r="BK167" s="316"/>
      <c r="BL167" s="316"/>
      <c r="BM167" s="316"/>
      <c r="BN167" s="316"/>
      <c r="BO167" s="316"/>
      <c r="BP167" s="316"/>
      <c r="BQ167" s="316"/>
      <c r="BR167" s="316"/>
      <c r="BS167" s="316"/>
      <c r="BT167" s="316"/>
      <c r="BU167" s="316"/>
      <c r="BV167" s="316"/>
      <c r="BW167" s="316"/>
      <c r="BX167" s="316"/>
      <c r="BY167" s="316"/>
      <c r="BZ167" s="316"/>
      <c r="CA167" s="316"/>
      <c r="CB167" s="316"/>
      <c r="CC167" s="316"/>
      <c r="CD167" s="316"/>
      <c r="CE167" s="316"/>
      <c r="CF167" s="316"/>
      <c r="CG167" s="316"/>
      <c r="CH167" s="316"/>
      <c r="CI167" s="316"/>
      <c r="CJ167" s="316"/>
      <c r="CK167" s="316"/>
      <c r="CL167" s="316"/>
      <c r="CM167" s="316"/>
      <c r="CN167" s="316"/>
      <c r="CO167" s="316"/>
      <c r="CP167" s="316"/>
      <c r="CQ167" s="316"/>
      <c r="CR167" s="316"/>
      <c r="CS167" s="316"/>
      <c r="CT167" s="316"/>
      <c r="CU167" s="316"/>
      <c r="CV167" s="316"/>
      <c r="CW167" s="316"/>
      <c r="CX167" s="316"/>
      <c r="CY167" s="316"/>
      <c r="CZ167" s="316"/>
      <c r="DA167" s="316"/>
      <c r="DB167" s="316"/>
      <c r="DC167" s="316"/>
      <c r="DD167" s="316"/>
      <c r="DE167" s="316"/>
      <c r="DF167" s="316"/>
      <c r="DG167" s="316"/>
      <c r="DH167" s="316"/>
      <c r="DI167" s="316"/>
      <c r="DJ167" s="316"/>
      <c r="DK167" s="316"/>
      <c r="DL167" s="316"/>
      <c r="DM167" s="316"/>
      <c r="DN167" s="316"/>
      <c r="DO167" s="316"/>
      <c r="DP167" s="316"/>
      <c r="DQ167" s="316"/>
      <c r="DR167" s="316"/>
      <c r="DS167" s="316"/>
      <c r="DT167" s="316"/>
      <c r="DU167" s="316"/>
      <c r="DV167" s="316"/>
      <c r="DW167" s="316"/>
      <c r="DX167" s="316"/>
      <c r="DY167" s="316"/>
      <c r="DZ167" s="316"/>
      <c r="EA167" s="316"/>
      <c r="EB167" s="316"/>
      <c r="EC167" s="316"/>
      <c r="ED167" s="316"/>
      <c r="EE167" s="316"/>
      <c r="EF167" s="316"/>
      <c r="EG167" s="316"/>
      <c r="EH167" s="316"/>
      <c r="EI167" s="316"/>
      <c r="EJ167" s="316"/>
      <c r="EK167" s="316"/>
      <c r="EL167" s="316"/>
      <c r="EM167" s="316"/>
      <c r="EN167" s="316"/>
      <c r="EO167" s="316"/>
      <c r="EP167" s="316"/>
      <c r="EQ167" s="316"/>
      <c r="ER167" s="316"/>
      <c r="ES167" s="316"/>
      <c r="ET167" s="316"/>
      <c r="EU167" s="316"/>
      <c r="EV167" s="316"/>
      <c r="EW167" s="316"/>
      <c r="EX167" s="316"/>
      <c r="EY167" s="316"/>
      <c r="EZ167" s="316"/>
      <c r="FA167" s="316"/>
      <c r="FB167" s="316"/>
      <c r="FC167" s="316"/>
      <c r="FD167" s="316"/>
      <c r="FE167" s="316"/>
      <c r="FF167" s="316"/>
      <c r="FG167" s="316"/>
      <c r="FH167" s="316"/>
      <c r="FI167" s="316"/>
      <c r="FJ167" s="316"/>
      <c r="FK167" s="316"/>
      <c r="FL167" s="316"/>
      <c r="FM167" s="316"/>
      <c r="FN167" s="316"/>
      <c r="FO167" s="316"/>
      <c r="FP167" s="316"/>
      <c r="FQ167" s="316"/>
      <c r="FR167" s="316"/>
      <c r="FS167" s="316"/>
      <c r="FT167" s="316"/>
      <c r="FU167" s="316"/>
      <c r="FV167" s="316"/>
      <c r="FW167" s="316"/>
      <c r="FX167" s="316"/>
      <c r="FY167" s="316"/>
      <c r="FZ167" s="316"/>
      <c r="GA167" s="316"/>
      <c r="GB167" s="316"/>
      <c r="GC167" s="316"/>
      <c r="GD167" s="316"/>
      <c r="GE167" s="316"/>
      <c r="GF167" s="316"/>
      <c r="GG167" s="316"/>
      <c r="GH167" s="316"/>
      <c r="GI167" s="316"/>
      <c r="GJ167" s="316"/>
      <c r="GK167" s="316"/>
      <c r="GL167" s="316"/>
      <c r="GM167" s="316"/>
      <c r="GN167" s="316"/>
      <c r="GO167" s="316"/>
      <c r="GP167" s="316"/>
      <c r="GQ167" s="316"/>
      <c r="GR167" s="316"/>
      <c r="GS167" s="316"/>
      <c r="GT167" s="316"/>
      <c r="GU167" s="316"/>
      <c r="GV167" s="316"/>
      <c r="GW167" s="316"/>
      <c r="GX167" s="316"/>
      <c r="GY167" s="316"/>
      <c r="GZ167" s="316"/>
      <c r="HA167" s="316"/>
      <c r="HB167" s="316"/>
      <c r="HC167" s="316"/>
      <c r="HD167" s="316"/>
      <c r="HE167" s="316"/>
      <c r="HF167" s="316"/>
      <c r="HG167" s="316"/>
      <c r="HH167" s="316"/>
      <c r="HI167" s="316"/>
      <c r="HJ167" s="316"/>
      <c r="HK167" s="316"/>
      <c r="HL167" s="316"/>
      <c r="HM167" s="316"/>
      <c r="HN167" s="316"/>
      <c r="HO167" s="316"/>
      <c r="HP167" s="316"/>
      <c r="HQ167" s="316"/>
      <c r="HR167" s="316"/>
      <c r="HS167" s="316"/>
      <c r="HT167" s="316"/>
      <c r="HU167" s="316"/>
      <c r="HV167" s="316"/>
      <c r="HW167" s="316"/>
      <c r="HX167" s="316"/>
      <c r="HY167" s="316"/>
      <c r="HZ167" s="316"/>
      <c r="IA167" s="316"/>
      <c r="IB167" s="316"/>
      <c r="IC167" s="316"/>
      <c r="ID167" s="316"/>
      <c r="IE167" s="316"/>
      <c r="IF167" s="316"/>
      <c r="IG167" s="316"/>
      <c r="IH167" s="316"/>
      <c r="II167" s="316"/>
      <c r="IJ167" s="316"/>
      <c r="IK167" s="316"/>
      <c r="IL167" s="316"/>
      <c r="IM167" s="316"/>
      <c r="IN167" s="316"/>
      <c r="IO167" s="316"/>
      <c r="IP167" s="316"/>
      <c r="IQ167" s="316"/>
      <c r="IR167" s="316"/>
      <c r="IS167" s="153"/>
    </row>
    <row r="168" spans="1:253" ht="24.95" customHeight="1">
      <c r="A168" s="317" t="s">
        <v>107</v>
      </c>
      <c r="B168" s="317"/>
      <c r="C168" s="317" t="s">
        <v>108</v>
      </c>
      <c r="D168" s="317"/>
      <c r="E168" s="317"/>
      <c r="F168" s="317"/>
      <c r="G168" s="317"/>
      <c r="H168" s="317"/>
      <c r="I168" s="317"/>
      <c r="J168" s="317"/>
      <c r="K168" s="317"/>
      <c r="L168" s="328" t="s">
        <v>109</v>
      </c>
      <c r="M168" s="317"/>
      <c r="N168" s="317"/>
      <c r="O168" s="328" t="s">
        <v>110</v>
      </c>
      <c r="P168" s="317"/>
      <c r="Q168" s="317"/>
    </row>
    <row r="169" spans="1:253" ht="24.95" customHeight="1">
      <c r="A169" s="317"/>
      <c r="B169" s="317"/>
      <c r="C169" s="317" t="s">
        <v>111</v>
      </c>
      <c r="D169" s="317"/>
      <c r="E169" s="317"/>
      <c r="F169" s="317" t="s">
        <v>112</v>
      </c>
      <c r="G169" s="317"/>
      <c r="H169" s="317"/>
      <c r="I169" s="317" t="s">
        <v>61</v>
      </c>
      <c r="J169" s="317"/>
      <c r="K169" s="317"/>
      <c r="L169" s="317"/>
      <c r="M169" s="317"/>
      <c r="N169" s="317"/>
      <c r="O169" s="317"/>
      <c r="P169" s="317"/>
      <c r="Q169" s="317"/>
    </row>
    <row r="170" spans="1:253" ht="24.95" customHeight="1">
      <c r="A170" s="317" t="s">
        <v>113</v>
      </c>
      <c r="B170" s="317"/>
      <c r="C170" s="320">
        <f>SUMIF(P23:P39,"1",K23:K39)+SUMIF(P56:P62,"1",K56:K62)+SUMIF(P83:P96,"1",K83:K96)+SUMIF(P122:P128,"1",K122:K128)</f>
        <v>340</v>
      </c>
      <c r="D170" s="321"/>
      <c r="E170" s="322"/>
      <c r="F170" s="318">
        <f>SUMIF(R50:R50,"1",K50:K50)+SUMIF(R72:R77,"1",K72:K77)+SUMIF(R107:R116,"1",K107:K116)+SUMIF(R126:R162,"1",K126:K162)</f>
        <v>0</v>
      </c>
      <c r="G170" s="319"/>
      <c r="H170" s="319"/>
      <c r="I170" s="318">
        <f>SUM(C170:H170)</f>
        <v>340</v>
      </c>
      <c r="J170" s="319"/>
      <c r="K170" s="319"/>
      <c r="L170" s="318">
        <f>SUMIF(P41:P45,"1",K41:K45)+SUMIF(P64:P67,"1",K64:K67)+SUMIF(P98:P102,"1",K98:K102)+SUMIF(P130:P136,"1",K130:K136)+SUMIF(R164:R165,"1",K164:K165)</f>
        <v>2</v>
      </c>
      <c r="M170" s="319"/>
      <c r="N170" s="319"/>
      <c r="O170" s="319">
        <f>SUMIF(P23:P165,"1",V23:V165)+SUMIF(R23:R165,"1",W23:W165)</f>
        <v>5</v>
      </c>
      <c r="P170" s="319"/>
      <c r="Q170" s="319"/>
      <c r="R170" s="31"/>
    </row>
    <row r="171" spans="1:253" ht="24.95" customHeight="1">
      <c r="A171" s="317" t="s">
        <v>114</v>
      </c>
      <c r="B171" s="317"/>
      <c r="C171" s="318">
        <f>SUMIF(P23:P39,"2",K23:K39)+SUMIF(P56:P62,"2",K56:K62)+SUMIF(P83:P96,"2",K83:K96)+SUMIF(P122:P128,"2",K122:K128)</f>
        <v>508</v>
      </c>
      <c r="D171" s="319"/>
      <c r="E171" s="319"/>
      <c r="F171" s="318">
        <f>SUMIF(R50:R50,"2",K50:K50)+SUMIF(R72:R77,"2",K72:K77)+SUMIF(R107:R116,"2",K107:K116)+SUMIF(R126:R162,"2",K126:K162)+16</f>
        <v>16</v>
      </c>
      <c r="G171" s="319"/>
      <c r="H171" s="319"/>
      <c r="I171" s="319">
        <f t="shared" ref="I171:I179" si="38">SUM(C171:H171)</f>
        <v>524</v>
      </c>
      <c r="J171" s="319"/>
      <c r="K171" s="319"/>
      <c r="L171" s="318">
        <f>SUMIF(P41:P45,"2",K41:K45)+SUMIF(P64:P67,"2",K64:K67)+SUMIF(P98:P102,"2",K98:K102)+SUMIF(P130:P136,"2",K130:K136)+SUMIF(R164:R165,"2",K164:K165)</f>
        <v>1</v>
      </c>
      <c r="M171" s="319"/>
      <c r="N171" s="319"/>
      <c r="O171" s="319">
        <f>SUMIF(P23:P165,"2",V23:V165)+SUMIF(R23:R165,"2",W23:W165)</f>
        <v>5</v>
      </c>
      <c r="P171" s="319"/>
      <c r="Q171" s="319"/>
    </row>
    <row r="172" spans="1:253" ht="24.95" customHeight="1">
      <c r="A172" s="317" t="s">
        <v>115</v>
      </c>
      <c r="B172" s="317"/>
      <c r="C172" s="318">
        <f>SUMIF(P23:P39,"3",K23:K39)+SUMIF(P56:P62,"3",K56:K62)+SUMIF(P83:P96,"3",K83:K96)+SUMIF(P122:P128,"3",K122:K128)</f>
        <v>334</v>
      </c>
      <c r="D172" s="319"/>
      <c r="E172" s="319"/>
      <c r="F172" s="318">
        <f>SUMIF(R50:R50,"3",K50:K50)+SUMIF(R72:R77,"3",K72:K77)+SUMIF(R107:R116,"3",K107:K116)+SUMIF(R126:R162,"3",K126:K162)+16</f>
        <v>88</v>
      </c>
      <c r="G172" s="319"/>
      <c r="H172" s="319"/>
      <c r="I172" s="319">
        <f t="shared" si="38"/>
        <v>422</v>
      </c>
      <c r="J172" s="319"/>
      <c r="K172" s="319"/>
      <c r="L172" s="318">
        <f>SUMIF(P41:P45,"3",K41:K45)+SUMIF(P64:P67,"3",K64:K67)+SUMIF(P98:P102,"3",K98:K102)+SUMIF(P130:P136,"3",K130:K136)+SUMIF(R164:R165,"3",K164:K165)</f>
        <v>2</v>
      </c>
      <c r="M172" s="319"/>
      <c r="N172" s="319"/>
      <c r="O172" s="319">
        <f>SUMIF(P23:P165,"3",V23:V165)+SUMIF(R23:R165,"3",W23:W165)</f>
        <v>7</v>
      </c>
      <c r="P172" s="319"/>
      <c r="Q172" s="319"/>
    </row>
    <row r="173" spans="1:253" ht="24.95" customHeight="1">
      <c r="A173" s="317" t="s">
        <v>116</v>
      </c>
      <c r="B173" s="317"/>
      <c r="C173" s="318">
        <f>SUMIF(P23:P39,"4",K23:K39)+SUMIF(P56:P62,"4",K56:K62)+SUMIF(P83:P96,"4",K83:K96)+SUMIF(P122:P128,"4",K122:K128)</f>
        <v>196</v>
      </c>
      <c r="D173" s="319"/>
      <c r="E173" s="319"/>
      <c r="F173" s="318">
        <f>SUMIF(R50:R50,"4",K50:K50)+SUMIF(R72:R77,"4",K72:K77)+SUMIF(R107:R116,"4",K107:K116)+SUMIF(R126:R162,"4",K126:K162)+16</f>
        <v>145</v>
      </c>
      <c r="G173" s="319"/>
      <c r="H173" s="319"/>
      <c r="I173" s="318">
        <f t="shared" si="38"/>
        <v>341</v>
      </c>
      <c r="J173" s="319"/>
      <c r="K173" s="319"/>
      <c r="L173" s="318">
        <f>SUMIF(P41:P45,"4",K41:K45)+SUMIF(P64:P67,"4",K64:K67)+SUMIF(P98:P102,"4",K98:K102)+SUMIF(P130:P136,"4",K130:K136)+SUMIF(R164:R165,"4",K164:K165)</f>
        <v>4</v>
      </c>
      <c r="M173" s="319"/>
      <c r="N173" s="319"/>
      <c r="O173" s="319">
        <f>SUMIF(P23:P165,"4",V23:V165)+SUMIF(R23:R165,"4",W23:W165)</f>
        <v>6</v>
      </c>
      <c r="P173" s="319"/>
      <c r="Q173" s="319"/>
    </row>
    <row r="174" spans="1:253" ht="24.95" customHeight="1">
      <c r="A174" s="317" t="s">
        <v>117</v>
      </c>
      <c r="B174" s="317"/>
      <c r="C174" s="318">
        <f>SUMIF(P23:P39,"5",K23:K39)+SUMIF(P56:P62,"5",K56:K62)+SUMIF(P83:P96,"5",K83:K96)+SUMIF(P122:P128,"5",K122:K128)</f>
        <v>84</v>
      </c>
      <c r="D174" s="319"/>
      <c r="E174" s="319"/>
      <c r="F174" s="318">
        <f>SUMIF(R50:R50,"5",K50:K50)+SUMIF(R72:R77,"5",K72:K77)+SUMIF(R107:R116,"5",K107:K116)+SUMIF(R126:R162,"5",K126:K162)+16</f>
        <v>256</v>
      </c>
      <c r="G174" s="319"/>
      <c r="H174" s="319"/>
      <c r="I174" s="319">
        <f t="shared" si="38"/>
        <v>340</v>
      </c>
      <c r="J174" s="319"/>
      <c r="K174" s="319"/>
      <c r="L174" s="318">
        <f>SUMIF(P41:P45,"5",K41:K45)+SUMIF(P64:P67,"5",K64:K67)+SUMIF(P98:P102,"5",K98:K102)+SUMIF(P130:P136,"5",K130:K136)+SUMIF(R164:R165,"5",K164:K165)</f>
        <v>2</v>
      </c>
      <c r="M174" s="319"/>
      <c r="N174" s="319"/>
      <c r="O174" s="319">
        <f>SUMIF(P23:P165,"5",V23:V165)+SUMIF(R23:R165,"5",W23:W165)</f>
        <v>4</v>
      </c>
      <c r="P174" s="319"/>
      <c r="Q174" s="319"/>
    </row>
    <row r="175" spans="1:253" ht="24.95" customHeight="1">
      <c r="A175" s="317" t="s">
        <v>118</v>
      </c>
      <c r="B175" s="317"/>
      <c r="C175" s="318">
        <f>SUMIF(P23:P39,"6",K23:K39)+SUMIF(P56:P62,"6",K56:K62)+SUMIF(P83:P96,"6",K83:K96)+SUMIF(P122:P128,"6",K122:K128)</f>
        <v>194</v>
      </c>
      <c r="D175" s="319"/>
      <c r="E175" s="319"/>
      <c r="F175" s="318">
        <f>SUMIF(R50:R50,"6",K50:K50)+SUMIF(R72:R77,"6",K72:K77)+SUMIF(R107:R116,"6",K107:K116)+SUMIF(R126:R162,"6",K126:K162)+16</f>
        <v>80</v>
      </c>
      <c r="G175" s="319"/>
      <c r="H175" s="319"/>
      <c r="I175" s="319">
        <f t="shared" si="38"/>
        <v>274</v>
      </c>
      <c r="J175" s="319"/>
      <c r="K175" s="319"/>
      <c r="L175" s="318">
        <f>SUMIF(P41:P45,"6",K41:K45)+SUMIF(P64:P67,"6",K64:K67)+SUMIF(P98:P102,"6",K98:K102)+SUMIF(P130:P136,"6",K130:K136)+SUMIF(R164:R165,"6",K164:K165)</f>
        <v>2</v>
      </c>
      <c r="M175" s="319"/>
      <c r="N175" s="319"/>
      <c r="O175" s="319">
        <f>SUMIF(P23:P165,"6",V23:V165)+SUMIF(R23:R165,"6",W23:W165)</f>
        <v>4</v>
      </c>
      <c r="P175" s="319"/>
      <c r="Q175" s="319"/>
    </row>
    <row r="176" spans="1:253" ht="24.95" customHeight="1">
      <c r="A176" s="317" t="s">
        <v>119</v>
      </c>
      <c r="B176" s="317"/>
      <c r="C176" s="318">
        <f>SUMIF(P23:P39,"7",K23:K39)+SUMIF(P56:P62,"7",K56:K62)+SUMIF(P83:P96,"7",K83:K96)+SUMIF(P122:P128,"7",K122:K128)</f>
        <v>0</v>
      </c>
      <c r="D176" s="319"/>
      <c r="E176" s="319"/>
      <c r="F176" s="318">
        <f>SUMIF(R50:R50,"7",K50:K50)+SUMIF(R72:R77,"7",K72:K77)+SUMIF(R107:R116,"7",K107:K116)+SUMIF(R126:R162,"7",K126:K162)+16</f>
        <v>112</v>
      </c>
      <c r="G176" s="319"/>
      <c r="H176" s="319"/>
      <c r="I176" s="319">
        <f t="shared" si="38"/>
        <v>112</v>
      </c>
      <c r="J176" s="319"/>
      <c r="K176" s="319"/>
      <c r="L176" s="318">
        <f>SUMIF(P41:P45,"7",K41:K45)+SUMIF(P64:P67,"7",K64:K67)+SUMIF(P98:P102,"7",K98:K102)+SUMIF(P130:P136,"7",K130:K136)+SUMIF(R164:R165,"7",K164:K165)</f>
        <v>12</v>
      </c>
      <c r="M176" s="319"/>
      <c r="N176" s="319"/>
      <c r="O176" s="319">
        <f>SUMIF(P23:P165,"7",V23:V165)+SUMIF(R23:R165,"7",W23:W165)</f>
        <v>1</v>
      </c>
      <c r="P176" s="319"/>
      <c r="Q176" s="319"/>
    </row>
    <row r="177" spans="1:253" ht="24.95" customHeight="1">
      <c r="A177" s="317" t="s">
        <v>120</v>
      </c>
      <c r="B177" s="317"/>
      <c r="C177" s="318">
        <f>SUMIF(P23:P39,"8",K23:K39)+SUMIF(P56:P62,"8",K56:K62)+SUMIF(P83:P96,"8",K83:K96)+SUMIF(P122:P128,"8",K122:K128)</f>
        <v>0</v>
      </c>
      <c r="D177" s="319"/>
      <c r="E177" s="319"/>
      <c r="F177" s="318">
        <f>SUMIF(R50:R50,"8",K50:K50)+SUMIF(R72:R77,"8",K72:K77)+SUMIF(R107:R116,"8",K107:K116)+SUMIF(R126:R162,"8",K126:K162)</f>
        <v>0</v>
      </c>
      <c r="G177" s="319"/>
      <c r="H177" s="319"/>
      <c r="I177" s="319">
        <f t="shared" si="38"/>
        <v>0</v>
      </c>
      <c r="J177" s="319"/>
      <c r="K177" s="319"/>
      <c r="L177" s="318">
        <f>SUMIF(P41:P45,"8",K41:K45)+SUMIF(P64:P67,"8",K64:K67)+SUMIF(P98:P102,"8",K98:K102)+SUMIF(P130:P136,"8",K130:K136)+SUMIF(R164:R165,"8",K164:K165)</f>
        <v>16</v>
      </c>
      <c r="M177" s="319"/>
      <c r="N177" s="319"/>
      <c r="O177" s="319">
        <f>SUMIF(P23:P165,"8",V23:V165)+SUMIF(R23:R165,"8",W23:W165)</f>
        <v>0</v>
      </c>
      <c r="P177" s="319"/>
      <c r="Q177" s="319"/>
      <c r="V177" s="207"/>
    </row>
    <row r="178" spans="1:253" ht="24.95" customHeight="1">
      <c r="A178" s="317" t="s">
        <v>121</v>
      </c>
      <c r="B178" s="317"/>
      <c r="C178" s="318">
        <f>SUMIF(P23:P39,"9",K23:K39)+SUMIF(P56:P62,"9",K56:K62)+SUMIF(P83:P96,"9",K83:K96)+SUMIF(P122:P128,"9",K122:K128)</f>
        <v>0</v>
      </c>
      <c r="D178" s="319"/>
      <c r="E178" s="319"/>
      <c r="F178" s="318">
        <f>SUMIF(R50:R50,"9",K50:K50)+SUMIF(R72:R77,"9",K72:K77)+SUMIF(R107:R116,"9",K107:K116)+SUMIF(R126:R162,"9",K126:K162)</f>
        <v>0</v>
      </c>
      <c r="G178" s="319"/>
      <c r="H178" s="319"/>
      <c r="I178" s="319">
        <f t="shared" si="38"/>
        <v>0</v>
      </c>
      <c r="J178" s="319"/>
      <c r="K178" s="319"/>
      <c r="L178" s="318">
        <f>SUMIF(P41:P45,"9",K41:K45)+SUMIF(P64:P67,"9",K64:K67)+SUMIF(P98:P102,"9",K98:K102)+SUMIF(P130:P136,"9",K130:K136)+SUMIF(R164:R165,"9",K164:K165)</f>
        <v>0</v>
      </c>
      <c r="M178" s="319"/>
      <c r="N178" s="319"/>
      <c r="O178" s="319">
        <f>SUMIF(P23:P165,"9",V23:V165)+SUMIF(R23:R165,"9",W23:W165)</f>
        <v>0</v>
      </c>
      <c r="P178" s="319"/>
      <c r="Q178" s="319"/>
      <c r="R178" s="323"/>
      <c r="S178" s="323"/>
      <c r="T178" s="323"/>
      <c r="U178" s="323"/>
    </row>
    <row r="179" spans="1:253" ht="24.95" customHeight="1">
      <c r="A179" s="317" t="s">
        <v>122</v>
      </c>
      <c r="B179" s="317"/>
      <c r="C179" s="318">
        <f>SUMIF(P23:P39,"10",K23:K39)+SUMIF(P56:P62,"10",K56:K62)+SUMIF(P83:P96,"10",K83:K96)+SUMIF(P122:P128,"10",K122:K128)</f>
        <v>0</v>
      </c>
      <c r="D179" s="319"/>
      <c r="E179" s="319"/>
      <c r="F179" s="318">
        <f>SUMIF(R50:R50,"10",K50:K50)+SUMIF(R72:R77,"10",K72:K77)+SUMIF(R107:R116,"10",K107:K116)+SUMIF(R126:R162,"10",K126:K162)</f>
        <v>0</v>
      </c>
      <c r="G179" s="319"/>
      <c r="H179" s="319"/>
      <c r="I179" s="319">
        <f t="shared" si="38"/>
        <v>0</v>
      </c>
      <c r="J179" s="319"/>
      <c r="K179" s="319"/>
      <c r="L179" s="318">
        <f>SUMIF(P41:P45,"10",K41:K45)+SUMIF(P64:P67,"10",K64:K67)+SUMIF(P98:P102,"10",K98:K102)+SUMIF(P130:P136,"10",K130:K136)+SUMIF(R164:R165,"10",K164:K165)</f>
        <v>0</v>
      </c>
      <c r="M179" s="319"/>
      <c r="N179" s="319"/>
      <c r="O179" s="319">
        <f>SUMIF(P23:P165,"10",V23:V165)+SUMIF(R23:R165,"10",W23:W165)</f>
        <v>0</v>
      </c>
      <c r="P179" s="319"/>
      <c r="Q179" s="319"/>
      <c r="R179" s="150"/>
      <c r="S179" s="150"/>
      <c r="T179" s="150"/>
      <c r="U179" s="150"/>
    </row>
    <row r="180" spans="1:253" ht="24.95" customHeight="1">
      <c r="A180" s="262" t="s">
        <v>123</v>
      </c>
      <c r="B180" s="262"/>
      <c r="C180" s="324">
        <f>SUM(C170:E179)</f>
        <v>1656</v>
      </c>
      <c r="D180" s="325"/>
      <c r="E180" s="325"/>
      <c r="F180" s="324">
        <f>SUM(F170:H179)</f>
        <v>697</v>
      </c>
      <c r="G180" s="325"/>
      <c r="H180" s="325"/>
      <c r="I180" s="324">
        <f>SUM(I170:K179)</f>
        <v>2353</v>
      </c>
      <c r="J180" s="325"/>
      <c r="K180" s="325"/>
      <c r="L180" s="324">
        <f>SUM(L170:N179)</f>
        <v>41</v>
      </c>
      <c r="M180" s="325"/>
      <c r="N180" s="325"/>
      <c r="O180" s="325">
        <f>SUM(O170:Q179)</f>
        <v>32</v>
      </c>
      <c r="P180" s="325"/>
      <c r="Q180" s="325"/>
      <c r="R180" s="150"/>
      <c r="S180" s="150"/>
      <c r="T180" s="150"/>
      <c r="U180" s="150"/>
    </row>
    <row r="181" spans="1:253" s="26" customFormat="1" ht="31.5" customHeight="1">
      <c r="A181" s="315" t="s">
        <v>124</v>
      </c>
      <c r="B181" s="315"/>
      <c r="C181" s="315"/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149"/>
      <c r="S181" s="149"/>
      <c r="T181" s="149"/>
      <c r="U181" s="149"/>
      <c r="V181" s="151"/>
      <c r="W181" s="151"/>
      <c r="X181" s="151"/>
      <c r="Y181" s="151"/>
      <c r="Z181" s="152"/>
      <c r="AA181" s="151"/>
      <c r="AB181" s="151"/>
      <c r="AC181" s="151"/>
      <c r="AD181" s="151"/>
      <c r="AE181" s="151"/>
      <c r="AF181" s="316"/>
      <c r="AG181" s="316"/>
      <c r="AH181" s="316"/>
      <c r="AI181" s="316"/>
      <c r="AJ181" s="316"/>
      <c r="AK181" s="316"/>
      <c r="AL181" s="316"/>
      <c r="AM181" s="316"/>
      <c r="AN181" s="316"/>
      <c r="AO181" s="316"/>
      <c r="AP181" s="316"/>
      <c r="AQ181" s="316"/>
      <c r="AR181" s="316"/>
      <c r="AS181" s="316"/>
      <c r="AT181" s="316"/>
      <c r="AU181" s="316"/>
      <c r="AV181" s="316"/>
      <c r="AW181" s="316"/>
      <c r="AX181" s="316"/>
      <c r="AY181" s="316"/>
      <c r="AZ181" s="316"/>
      <c r="BA181" s="316"/>
      <c r="BB181" s="316"/>
      <c r="BC181" s="316"/>
      <c r="BD181" s="316"/>
      <c r="BE181" s="316"/>
      <c r="BF181" s="316"/>
      <c r="BG181" s="316"/>
      <c r="BH181" s="316"/>
      <c r="BI181" s="316"/>
      <c r="BJ181" s="316"/>
      <c r="BK181" s="316"/>
      <c r="BL181" s="316"/>
      <c r="BM181" s="316"/>
      <c r="BN181" s="316"/>
      <c r="BO181" s="316"/>
      <c r="BP181" s="316"/>
      <c r="BQ181" s="316"/>
      <c r="BR181" s="316"/>
      <c r="BS181" s="316"/>
      <c r="BT181" s="316"/>
      <c r="BU181" s="316"/>
      <c r="BV181" s="316"/>
      <c r="BW181" s="316"/>
      <c r="BX181" s="316"/>
      <c r="BY181" s="316"/>
      <c r="BZ181" s="316"/>
      <c r="CA181" s="316"/>
      <c r="CB181" s="316"/>
      <c r="CC181" s="316"/>
      <c r="CD181" s="316"/>
      <c r="CE181" s="316"/>
      <c r="CF181" s="316"/>
      <c r="CG181" s="316"/>
      <c r="CH181" s="316"/>
      <c r="CI181" s="316"/>
      <c r="CJ181" s="316"/>
      <c r="CK181" s="316"/>
      <c r="CL181" s="316"/>
      <c r="CM181" s="316"/>
      <c r="CN181" s="316"/>
      <c r="CO181" s="316"/>
      <c r="CP181" s="316"/>
      <c r="CQ181" s="316"/>
      <c r="CR181" s="316"/>
      <c r="CS181" s="316"/>
      <c r="CT181" s="316"/>
      <c r="CU181" s="316"/>
      <c r="CV181" s="316"/>
      <c r="CW181" s="316"/>
      <c r="CX181" s="316"/>
      <c r="CY181" s="316"/>
      <c r="CZ181" s="316"/>
      <c r="DA181" s="316"/>
      <c r="DB181" s="316"/>
      <c r="DC181" s="316"/>
      <c r="DD181" s="316"/>
      <c r="DE181" s="316"/>
      <c r="DF181" s="316"/>
      <c r="DG181" s="316"/>
      <c r="DH181" s="316"/>
      <c r="DI181" s="316"/>
      <c r="DJ181" s="316"/>
      <c r="DK181" s="316"/>
      <c r="DL181" s="316"/>
      <c r="DM181" s="316"/>
      <c r="DN181" s="316"/>
      <c r="DO181" s="316"/>
      <c r="DP181" s="316"/>
      <c r="DQ181" s="316"/>
      <c r="DR181" s="316"/>
      <c r="DS181" s="316"/>
      <c r="DT181" s="316"/>
      <c r="DU181" s="316"/>
      <c r="DV181" s="316"/>
      <c r="DW181" s="316"/>
      <c r="DX181" s="316"/>
      <c r="DY181" s="316"/>
      <c r="DZ181" s="316"/>
      <c r="EA181" s="316"/>
      <c r="EB181" s="316"/>
      <c r="EC181" s="316"/>
      <c r="ED181" s="316"/>
      <c r="EE181" s="316"/>
      <c r="EF181" s="316"/>
      <c r="EG181" s="316"/>
      <c r="EH181" s="316"/>
      <c r="EI181" s="316"/>
      <c r="EJ181" s="316"/>
      <c r="EK181" s="316"/>
      <c r="EL181" s="316"/>
      <c r="EM181" s="316"/>
      <c r="EN181" s="316"/>
      <c r="EO181" s="316"/>
      <c r="EP181" s="316"/>
      <c r="EQ181" s="316"/>
      <c r="ER181" s="316"/>
      <c r="ES181" s="316"/>
      <c r="ET181" s="316"/>
      <c r="EU181" s="316"/>
      <c r="EV181" s="316"/>
      <c r="EW181" s="316"/>
      <c r="EX181" s="316"/>
      <c r="EY181" s="316"/>
      <c r="EZ181" s="316"/>
      <c r="FA181" s="316"/>
      <c r="FB181" s="316"/>
      <c r="FC181" s="316"/>
      <c r="FD181" s="316"/>
      <c r="FE181" s="316"/>
      <c r="FF181" s="316"/>
      <c r="FG181" s="316"/>
      <c r="FH181" s="316"/>
      <c r="FI181" s="316"/>
      <c r="FJ181" s="316"/>
      <c r="FK181" s="316"/>
      <c r="FL181" s="316"/>
      <c r="FM181" s="316"/>
      <c r="FN181" s="316"/>
      <c r="FO181" s="316"/>
      <c r="FP181" s="316"/>
      <c r="FQ181" s="316"/>
      <c r="FR181" s="316"/>
      <c r="FS181" s="316"/>
      <c r="FT181" s="316"/>
      <c r="FU181" s="316"/>
      <c r="FV181" s="316"/>
      <c r="FW181" s="316"/>
      <c r="FX181" s="316"/>
      <c r="FY181" s="316"/>
      <c r="FZ181" s="316"/>
      <c r="GA181" s="316"/>
      <c r="GB181" s="316"/>
      <c r="GC181" s="316"/>
      <c r="GD181" s="316"/>
      <c r="GE181" s="316"/>
      <c r="GF181" s="316"/>
      <c r="GG181" s="316"/>
      <c r="GH181" s="316"/>
      <c r="GI181" s="316"/>
      <c r="GJ181" s="316"/>
      <c r="GK181" s="316"/>
      <c r="GL181" s="316"/>
      <c r="GM181" s="316"/>
      <c r="GN181" s="316"/>
      <c r="GO181" s="316"/>
      <c r="GP181" s="316"/>
      <c r="GQ181" s="316"/>
      <c r="GR181" s="316"/>
      <c r="GS181" s="316"/>
      <c r="GT181" s="316"/>
      <c r="GU181" s="316"/>
      <c r="GV181" s="316"/>
      <c r="GW181" s="316"/>
      <c r="GX181" s="316"/>
      <c r="GY181" s="316"/>
      <c r="GZ181" s="316"/>
      <c r="HA181" s="316"/>
      <c r="HB181" s="316"/>
      <c r="HC181" s="316"/>
      <c r="HD181" s="316"/>
      <c r="HE181" s="316"/>
      <c r="HF181" s="316"/>
      <c r="HG181" s="316"/>
      <c r="HH181" s="316"/>
      <c r="HI181" s="316"/>
      <c r="HJ181" s="316"/>
      <c r="HK181" s="316"/>
      <c r="HL181" s="316"/>
      <c r="HM181" s="316"/>
      <c r="HN181" s="316"/>
      <c r="HO181" s="316"/>
      <c r="HP181" s="316"/>
      <c r="HQ181" s="316"/>
      <c r="HR181" s="316"/>
      <c r="HS181" s="316"/>
      <c r="HT181" s="316"/>
      <c r="HU181" s="316"/>
      <c r="HV181" s="316"/>
      <c r="HW181" s="316"/>
      <c r="HX181" s="316"/>
      <c r="HY181" s="316"/>
      <c r="HZ181" s="316"/>
      <c r="IA181" s="316"/>
      <c r="IB181" s="316"/>
      <c r="IC181" s="316"/>
      <c r="ID181" s="316"/>
      <c r="IE181" s="316"/>
      <c r="IF181" s="316"/>
      <c r="IG181" s="316"/>
      <c r="IH181" s="316"/>
      <c r="II181" s="316"/>
      <c r="IJ181" s="316"/>
      <c r="IK181" s="316"/>
      <c r="IL181" s="316"/>
      <c r="IM181" s="316"/>
      <c r="IN181" s="316"/>
      <c r="IO181" s="316"/>
      <c r="IP181" s="316"/>
      <c r="IQ181" s="316"/>
      <c r="IR181" s="316"/>
      <c r="IS181" s="153"/>
    </row>
    <row r="182" spans="1:253" ht="24.95" customHeight="1">
      <c r="A182" s="317" t="s">
        <v>125</v>
      </c>
      <c r="B182" s="317"/>
      <c r="C182" s="317"/>
      <c r="D182" s="317" t="s">
        <v>126</v>
      </c>
      <c r="E182" s="317"/>
      <c r="F182" s="317"/>
      <c r="G182" s="317"/>
      <c r="H182" s="317"/>
      <c r="I182" s="317"/>
      <c r="J182" s="317"/>
      <c r="K182" s="317"/>
      <c r="L182" s="317"/>
      <c r="M182" s="317"/>
      <c r="N182" s="317"/>
      <c r="O182" s="317"/>
      <c r="P182" s="317"/>
      <c r="Q182" s="317"/>
      <c r="R182" s="326" t="s">
        <v>127</v>
      </c>
      <c r="S182" s="326"/>
      <c r="T182" s="326"/>
      <c r="U182" s="326"/>
    </row>
    <row r="183" spans="1:253" ht="31.5" customHeight="1">
      <c r="A183" s="317"/>
      <c r="B183" s="317"/>
      <c r="C183" s="317"/>
      <c r="D183" s="328" t="s">
        <v>29</v>
      </c>
      <c r="E183" s="328"/>
      <c r="F183" s="328" t="s">
        <v>128</v>
      </c>
      <c r="G183" s="328"/>
      <c r="H183" s="328" t="s">
        <v>129</v>
      </c>
      <c r="I183" s="328"/>
      <c r="J183" s="328" t="s">
        <v>130</v>
      </c>
      <c r="K183" s="328"/>
      <c r="L183" s="328" t="s">
        <v>129</v>
      </c>
      <c r="M183" s="328"/>
      <c r="N183" s="328" t="s">
        <v>131</v>
      </c>
      <c r="O183" s="328"/>
      <c r="P183" s="328" t="s">
        <v>129</v>
      </c>
      <c r="Q183" s="328"/>
      <c r="R183" s="327" t="s">
        <v>132</v>
      </c>
      <c r="S183" s="327"/>
      <c r="T183" s="327" t="s">
        <v>133</v>
      </c>
      <c r="U183" s="327"/>
    </row>
    <row r="184" spans="1:253" ht="24.95" customHeight="1">
      <c r="A184" s="317" t="s">
        <v>134</v>
      </c>
      <c r="B184" s="317"/>
      <c r="C184" s="317"/>
      <c r="D184" s="329">
        <f>J40+J46+SUMIF(R50:R50,"&gt;0",J50:J50)+6</f>
        <v>43</v>
      </c>
      <c r="E184" s="329"/>
      <c r="F184" s="329">
        <f>J40+J46</f>
        <v>37</v>
      </c>
      <c r="G184" s="329"/>
      <c r="H184" s="330">
        <f>IF(ISERROR(F184/D184),"",F184/D184)</f>
        <v>0.86046511627906974</v>
      </c>
      <c r="I184" s="330"/>
      <c r="J184" s="329">
        <f>SUMIF(R50:R50,"&gt;0",J50:J50)+6</f>
        <v>6</v>
      </c>
      <c r="K184" s="329"/>
      <c r="L184" s="330">
        <f>IF(ISERROR(J184/D184),"",J184/D184)</f>
        <v>0.13953488372093023</v>
      </c>
      <c r="M184" s="330"/>
      <c r="N184" s="329">
        <f>T40+U40+J46</f>
        <v>11.366300366300367</v>
      </c>
      <c r="O184" s="329"/>
      <c r="P184" s="330">
        <f>IF(ISERROR(N184/D184),"",N184/D184)</f>
        <v>0.26433256665814808</v>
      </c>
      <c r="Q184" s="330"/>
      <c r="R184" s="331">
        <f>J51</f>
        <v>6</v>
      </c>
      <c r="S184" s="332"/>
      <c r="T184" s="331" t="str">
        <f>IF(J184-R184=0,"完成",IF(J184-R184&gt;0,"多选修"&amp;ABS(J184-R184)&amp;"学分",IF(J184-R184&lt;0,"少选修"&amp;ABS(J184-R184)&amp;"学分","")))</f>
        <v>完成</v>
      </c>
      <c r="U184" s="332"/>
    </row>
    <row r="185" spans="1:253" ht="24.95" customHeight="1">
      <c r="A185" s="328" t="s">
        <v>135</v>
      </c>
      <c r="B185" s="328"/>
      <c r="C185" s="328"/>
      <c r="D185" s="329">
        <f>J63+J68+SUMIF(R72:R77,"&gt;0",J72:J77)</f>
        <v>8.5</v>
      </c>
      <c r="E185" s="329"/>
      <c r="F185" s="329">
        <f>J63+J68</f>
        <v>6.5</v>
      </c>
      <c r="G185" s="329"/>
      <c r="H185" s="330">
        <f>IF(ISERROR(F185/D185),"",F185/D185)</f>
        <v>0.76470588235294112</v>
      </c>
      <c r="I185" s="330"/>
      <c r="J185" s="329">
        <f>SUMIF(R72:R77,"&lt;=10",J72:J77)</f>
        <v>2</v>
      </c>
      <c r="K185" s="329"/>
      <c r="L185" s="330">
        <f>IF(ISERROR(J185/D185),"",J185/D185)</f>
        <v>0.23529411764705882</v>
      </c>
      <c r="M185" s="330"/>
      <c r="N185" s="329">
        <f>T63+U63+J68</f>
        <v>2.3666666666666667</v>
      </c>
      <c r="O185" s="329"/>
      <c r="P185" s="330">
        <f>IF(ISERROR(N185/D185),"",N185/D185)</f>
        <v>0.27843137254901962</v>
      </c>
      <c r="Q185" s="330"/>
      <c r="R185" s="331">
        <f>J78</f>
        <v>2</v>
      </c>
      <c r="S185" s="332"/>
      <c r="T185" s="331" t="str">
        <f>IF(J185-R185=0,"完成",IF(J185-R185&gt;0,"多选修"&amp;ABS(J185-R185)&amp;"学分",IF(J185-R185&lt;0,"少选修"&amp;ABS(J185-R185)&amp;"学分","")))</f>
        <v>完成</v>
      </c>
      <c r="U185" s="332"/>
    </row>
    <row r="186" spans="1:253" ht="24.95" customHeight="1">
      <c r="A186" s="317" t="s">
        <v>136</v>
      </c>
      <c r="B186" s="317"/>
      <c r="C186" s="317"/>
      <c r="D186" s="329">
        <f>J97+J103+SUMIF(R107:R116,"&gt;0",J107:J116)</f>
        <v>53.5</v>
      </c>
      <c r="E186" s="329"/>
      <c r="F186" s="329">
        <f>J97+J103</f>
        <v>39.5</v>
      </c>
      <c r="G186" s="329"/>
      <c r="H186" s="330">
        <f>IF(ISERROR(F186/D186),"",F186/D186)</f>
        <v>0.73831775700934577</v>
      </c>
      <c r="I186" s="330"/>
      <c r="J186" s="329">
        <f>SUMIF(R107:R116,"&lt;=10",J107:J116)</f>
        <v>14</v>
      </c>
      <c r="K186" s="329"/>
      <c r="L186" s="330">
        <f>IF(ISERROR(J186/D186),"",J186/D186)</f>
        <v>0.26168224299065418</v>
      </c>
      <c r="M186" s="330"/>
      <c r="N186" s="329">
        <f>T97+U97+J103</f>
        <v>5.6666666666666661</v>
      </c>
      <c r="O186" s="329"/>
      <c r="P186" s="330">
        <f>IF(ISERROR(N186/D186),"",N186/D186)</f>
        <v>0.10591900311526478</v>
      </c>
      <c r="Q186" s="330"/>
      <c r="R186" s="331">
        <f>J117</f>
        <v>14</v>
      </c>
      <c r="S186" s="332"/>
      <c r="T186" s="331" t="str">
        <f>IF(J186-R186=0,"完成",IF(J186-R186&gt;0,"多选修"&amp;ABS(J186-R186)&amp;"学分",IF(J186-R186&lt;0,"少选修"&amp;ABS(J186-R186)&amp;"学分","")))</f>
        <v>完成</v>
      </c>
      <c r="U186" s="332"/>
    </row>
    <row r="187" spans="1:253" ht="24.95" customHeight="1">
      <c r="A187" s="317" t="s">
        <v>137</v>
      </c>
      <c r="B187" s="317"/>
      <c r="C187" s="317"/>
      <c r="D187" s="329">
        <f>J129+J137+SUMIF(R126:R165,"&gt;0",J126:J165)</f>
        <v>66</v>
      </c>
      <c r="E187" s="329"/>
      <c r="F187" s="329">
        <f>J129+J137</f>
        <v>43</v>
      </c>
      <c r="G187" s="329"/>
      <c r="H187" s="330">
        <f>IF(ISERROR(F187/D187),"",F187/D187)</f>
        <v>0.65151515151515149</v>
      </c>
      <c r="I187" s="330"/>
      <c r="J187" s="329">
        <f>SUMIF(R126:R165,"&lt;=10",J126:J165)</f>
        <v>23</v>
      </c>
      <c r="K187" s="329"/>
      <c r="L187" s="330">
        <f>IF(ISERROR(J187/D187),"",J187/D187)</f>
        <v>0.34848484848484851</v>
      </c>
      <c r="M187" s="330"/>
      <c r="N187" s="329">
        <f>T129+U129+J137+SUMIF(R164:R165,"&lt;=10",J164:J165)</f>
        <v>27</v>
      </c>
      <c r="O187" s="329"/>
      <c r="P187" s="330">
        <f>IF(ISERROR(N187/D187),"",N187/D187)</f>
        <v>0.40909090909090912</v>
      </c>
      <c r="Q187" s="330"/>
      <c r="R187" s="331">
        <f>J163+J166</f>
        <v>23</v>
      </c>
      <c r="S187" s="332"/>
      <c r="T187" s="331" t="str">
        <f>IF(J187-R187=0,"完成",IF(J187-R187&gt;0,"多选修"&amp;ABS(J187-R187)&amp;"学分",IF(J187-R187&lt;0,"少选修"&amp;ABS(J187-R187)&amp;"学分","")))</f>
        <v>完成</v>
      </c>
      <c r="U187" s="332"/>
    </row>
    <row r="188" spans="1:253" ht="24.95" customHeight="1">
      <c r="A188" s="262" t="s">
        <v>138</v>
      </c>
      <c r="B188" s="262"/>
      <c r="C188" s="262"/>
      <c r="D188" s="334">
        <f>SUM(D184:E187)</f>
        <v>171</v>
      </c>
      <c r="E188" s="334"/>
      <c r="F188" s="334">
        <f>SUM(F184:G187)</f>
        <v>126</v>
      </c>
      <c r="G188" s="334"/>
      <c r="H188" s="333">
        <f>IF(ISERROR(F188/D188),"",F188/D188)</f>
        <v>0.73684210526315785</v>
      </c>
      <c r="I188" s="333"/>
      <c r="J188" s="334">
        <f>SUM(J184:K187)</f>
        <v>45</v>
      </c>
      <c r="K188" s="334"/>
      <c r="L188" s="333">
        <f>IF(ISERROR(J188/D188),"",J188/D188)</f>
        <v>0.26315789473684209</v>
      </c>
      <c r="M188" s="333"/>
      <c r="N188" s="334">
        <f>SUM(N184:O187)</f>
        <v>46.399633699633696</v>
      </c>
      <c r="O188" s="334"/>
      <c r="P188" s="333">
        <f>IF(ISERROR(N188/D188),"",N188/D188)</f>
        <v>0.27134288713236082</v>
      </c>
      <c r="Q188" s="333"/>
      <c r="R188" s="331">
        <f>SUM(R184:S187)</f>
        <v>45</v>
      </c>
      <c r="S188" s="332"/>
      <c r="T188" s="331" t="str">
        <f>IF(J188-R188=0,"完成",IF(J188-R188&gt;0,"多选修"&amp;ABS(J188-R188)&amp;"学分",IF(J188-R188&lt;0,"少选修"&amp;ABS(J188-R188)&amp;"学分","")))</f>
        <v>完成</v>
      </c>
      <c r="U188" s="332"/>
    </row>
    <row r="189" spans="1:253" ht="48" customHeight="1">
      <c r="A189" s="326" t="s">
        <v>139</v>
      </c>
      <c r="B189" s="326"/>
      <c r="C189" s="326"/>
      <c r="D189" s="335" t="str">
        <f>IF(D188&gt;IF(C2="4",170,210),"大于控制总学分：","小于控制总学分：")&amp;ABS(D188-IF(C2="4",170,210))&amp;"学分"</f>
        <v>大于控制总学分：1学分</v>
      </c>
      <c r="E189" s="335"/>
      <c r="F189" s="59"/>
      <c r="G189" s="59"/>
      <c r="H189" s="59"/>
      <c r="I189" s="59"/>
      <c r="J189" s="59"/>
      <c r="K189" s="59"/>
      <c r="L189" s="59"/>
      <c r="M189" s="59"/>
      <c r="N189" s="336" t="s">
        <v>140</v>
      </c>
      <c r="O189" s="337"/>
      <c r="P189" s="338" t="str">
        <f>IF(IF(O1="文科",20%,25%)&lt;P188,"大于控制比例：","小于控制学分：")&amp;TEXT(ABS(IF(O1="文科",20%,25%)-P188),"0.00%")&amp;"学分"</f>
        <v>大于控制比例：2.13%学分</v>
      </c>
      <c r="Q189" s="338"/>
      <c r="R189" s="59"/>
      <c r="S189" s="59"/>
      <c r="T189" s="59"/>
      <c r="U189" s="59"/>
    </row>
    <row r="190" spans="1:253" ht="18" customHeight="1">
      <c r="A190" s="145" t="s">
        <v>141</v>
      </c>
      <c r="N190" s="31"/>
      <c r="P190" s="205"/>
      <c r="Z190" s="154"/>
    </row>
    <row r="191" spans="1:253" ht="18" customHeight="1">
      <c r="A191" s="145" t="s">
        <v>142</v>
      </c>
      <c r="N191" s="31"/>
      <c r="Z191" s="154"/>
    </row>
    <row r="192" spans="1:253" ht="18" customHeight="1">
      <c r="A192" s="145" t="s">
        <v>143</v>
      </c>
      <c r="Z192" s="154"/>
    </row>
    <row r="193" spans="1:26" ht="17.25" customHeight="1">
      <c r="A193" s="145" t="s">
        <v>144</v>
      </c>
      <c r="Z193" s="154"/>
    </row>
    <row r="212" spans="1:31" s="59" customFormat="1" ht="12">
      <c r="A212" s="208"/>
      <c r="P212" s="209"/>
      <c r="Z212" s="210" t="s">
        <v>145</v>
      </c>
      <c r="AA212" s="211" t="s">
        <v>0</v>
      </c>
      <c r="AB212" s="211" t="s">
        <v>1</v>
      </c>
      <c r="AC212" s="211" t="s">
        <v>146</v>
      </c>
      <c r="AD212" s="211" t="s">
        <v>2</v>
      </c>
      <c r="AE212" s="211" t="s">
        <v>7</v>
      </c>
    </row>
    <row r="213" spans="1:31" s="59" customFormat="1" ht="14.25">
      <c r="A213" s="208"/>
      <c r="P213" s="209"/>
      <c r="Z213" s="156" t="s">
        <v>147</v>
      </c>
      <c r="AA213" s="157" t="s">
        <v>148</v>
      </c>
      <c r="AB213" s="157" t="s">
        <v>149</v>
      </c>
      <c r="AC213" s="157" t="s">
        <v>101</v>
      </c>
      <c r="AD213" s="157" t="s">
        <v>150</v>
      </c>
      <c r="AE213" s="157" t="s">
        <v>151</v>
      </c>
    </row>
    <row r="214" spans="1:31" s="59" customFormat="1" ht="14.25">
      <c r="A214" s="208"/>
      <c r="P214" s="209"/>
      <c r="Z214" s="156" t="s">
        <v>152</v>
      </c>
      <c r="AA214" s="157" t="s">
        <v>153</v>
      </c>
      <c r="AB214" s="157" t="s">
        <v>149</v>
      </c>
      <c r="AC214" s="157" t="s">
        <v>101</v>
      </c>
      <c r="AD214" s="157" t="s">
        <v>150</v>
      </c>
      <c r="AE214" s="157" t="s">
        <v>151</v>
      </c>
    </row>
    <row r="215" spans="1:31" s="59" customFormat="1" ht="14.25">
      <c r="A215" s="208"/>
      <c r="P215" s="209"/>
      <c r="Z215" s="156" t="s">
        <v>154</v>
      </c>
      <c r="AA215" s="157" t="s">
        <v>155</v>
      </c>
      <c r="AB215" s="157" t="s">
        <v>149</v>
      </c>
      <c r="AC215" s="157" t="s">
        <v>101</v>
      </c>
      <c r="AD215" s="157" t="s">
        <v>150</v>
      </c>
      <c r="AE215" s="157" t="s">
        <v>151</v>
      </c>
    </row>
    <row r="216" spans="1:31" s="59" customFormat="1" ht="14.25">
      <c r="A216" s="208"/>
      <c r="P216" s="209"/>
      <c r="Z216" s="156" t="s">
        <v>156</v>
      </c>
      <c r="AA216" s="157" t="s">
        <v>157</v>
      </c>
      <c r="AB216" s="157" t="s">
        <v>149</v>
      </c>
      <c r="AC216" s="157" t="s">
        <v>101</v>
      </c>
      <c r="AD216" s="157" t="s">
        <v>150</v>
      </c>
      <c r="AE216" s="157" t="s">
        <v>151</v>
      </c>
    </row>
    <row r="217" spans="1:31" s="59" customFormat="1" ht="14.25">
      <c r="A217" s="208"/>
      <c r="P217" s="209"/>
      <c r="Z217" s="156" t="s">
        <v>158</v>
      </c>
      <c r="AA217" s="157" t="s">
        <v>159</v>
      </c>
      <c r="AB217" s="157" t="s">
        <v>160</v>
      </c>
      <c r="AC217" s="157" t="s">
        <v>101</v>
      </c>
      <c r="AD217" s="157" t="s">
        <v>161</v>
      </c>
      <c r="AE217" s="157" t="s">
        <v>162</v>
      </c>
    </row>
    <row r="218" spans="1:31" s="59" customFormat="1" ht="14.25">
      <c r="A218" s="208"/>
      <c r="P218" s="209"/>
      <c r="Z218" s="156" t="s">
        <v>163</v>
      </c>
      <c r="AA218" s="157" t="s">
        <v>164</v>
      </c>
      <c r="AB218" s="157" t="s">
        <v>160</v>
      </c>
      <c r="AC218" s="157" t="s">
        <v>101</v>
      </c>
      <c r="AD218" s="157" t="s">
        <v>161</v>
      </c>
      <c r="AE218" s="157" t="s">
        <v>162</v>
      </c>
    </row>
    <row r="219" spans="1:31" s="59" customFormat="1" ht="14.25">
      <c r="A219" s="208"/>
      <c r="P219" s="209"/>
      <c r="Z219" s="156" t="s">
        <v>165</v>
      </c>
      <c r="AA219" s="157" t="s">
        <v>166</v>
      </c>
      <c r="AB219" s="157" t="s">
        <v>160</v>
      </c>
      <c r="AC219" s="157" t="s">
        <v>101</v>
      </c>
      <c r="AD219" s="157" t="s">
        <v>161</v>
      </c>
      <c r="AE219" s="157" t="s">
        <v>162</v>
      </c>
    </row>
    <row r="220" spans="1:31" s="59" customFormat="1" ht="14.25">
      <c r="A220" s="208"/>
      <c r="P220" s="209"/>
      <c r="Z220" s="156" t="s">
        <v>167</v>
      </c>
      <c r="AA220" s="157" t="s">
        <v>168</v>
      </c>
      <c r="AB220" s="157" t="s">
        <v>160</v>
      </c>
      <c r="AC220" s="157" t="s">
        <v>101</v>
      </c>
      <c r="AD220" s="157" t="s">
        <v>161</v>
      </c>
      <c r="AE220" s="157" t="s">
        <v>169</v>
      </c>
    </row>
    <row r="221" spans="1:31" s="59" customFormat="1" ht="14.25">
      <c r="A221" s="208"/>
      <c r="P221" s="209"/>
      <c r="Z221" s="156" t="s">
        <v>170</v>
      </c>
      <c r="AA221" s="157" t="s">
        <v>171</v>
      </c>
      <c r="AB221" s="157" t="s">
        <v>172</v>
      </c>
      <c r="AC221" s="157" t="s">
        <v>101</v>
      </c>
      <c r="AD221" s="157" t="s">
        <v>150</v>
      </c>
      <c r="AE221" s="157" t="s">
        <v>173</v>
      </c>
    </row>
    <row r="222" spans="1:31" s="59" customFormat="1" ht="14.25">
      <c r="A222" s="208"/>
      <c r="P222" s="209"/>
      <c r="Z222" s="156" t="s">
        <v>174</v>
      </c>
      <c r="AA222" s="157" t="s">
        <v>175</v>
      </c>
      <c r="AB222" s="157" t="s">
        <v>172</v>
      </c>
      <c r="AC222" s="157" t="s">
        <v>101</v>
      </c>
      <c r="AD222" s="157" t="s">
        <v>150</v>
      </c>
      <c r="AE222" s="157" t="s">
        <v>176</v>
      </c>
    </row>
    <row r="223" spans="1:31" s="59" customFormat="1" ht="14.25">
      <c r="A223" s="208"/>
      <c r="P223" s="209"/>
      <c r="Z223" s="156" t="s">
        <v>177</v>
      </c>
      <c r="AA223" s="157" t="s">
        <v>178</v>
      </c>
      <c r="AB223" s="157" t="s">
        <v>172</v>
      </c>
      <c r="AC223" s="157" t="s">
        <v>101</v>
      </c>
      <c r="AD223" s="157" t="s">
        <v>150</v>
      </c>
      <c r="AE223" s="157" t="s">
        <v>179</v>
      </c>
    </row>
    <row r="224" spans="1:31" s="59" customFormat="1" ht="14.25">
      <c r="A224" s="208"/>
      <c r="P224" s="209"/>
      <c r="Z224" s="156" t="s">
        <v>180</v>
      </c>
      <c r="AA224" s="157" t="s">
        <v>181</v>
      </c>
      <c r="AB224" s="157" t="s">
        <v>172</v>
      </c>
      <c r="AC224" s="157" t="s">
        <v>101</v>
      </c>
      <c r="AD224" s="157" t="s">
        <v>150</v>
      </c>
      <c r="AE224" s="157" t="s">
        <v>179</v>
      </c>
    </row>
    <row r="225" spans="1:31" s="59" customFormat="1" ht="14.25">
      <c r="A225" s="208"/>
      <c r="P225" s="209"/>
      <c r="Z225" s="156" t="s">
        <v>182</v>
      </c>
      <c r="AA225" s="157" t="s">
        <v>183</v>
      </c>
      <c r="AB225" s="157" t="s">
        <v>172</v>
      </c>
      <c r="AC225" s="157" t="s">
        <v>101</v>
      </c>
      <c r="AD225" s="157" t="s">
        <v>150</v>
      </c>
      <c r="AE225" s="157" t="s">
        <v>173</v>
      </c>
    </row>
    <row r="226" spans="1:31" s="59" customFormat="1" ht="14.25">
      <c r="A226" s="208"/>
      <c r="P226" s="209"/>
      <c r="Z226" s="156" t="s">
        <v>184</v>
      </c>
      <c r="AA226" s="157" t="s">
        <v>185</v>
      </c>
      <c r="AB226" s="157" t="s">
        <v>186</v>
      </c>
      <c r="AC226" s="157" t="s">
        <v>101</v>
      </c>
      <c r="AD226" s="157" t="s">
        <v>150</v>
      </c>
      <c r="AE226" s="157" t="s">
        <v>187</v>
      </c>
    </row>
    <row r="227" spans="1:31" s="59" customFormat="1" ht="14.25">
      <c r="A227" s="208"/>
      <c r="P227" s="209"/>
      <c r="Z227" s="156" t="s">
        <v>188</v>
      </c>
      <c r="AA227" s="157" t="s">
        <v>189</v>
      </c>
      <c r="AB227" s="157" t="s">
        <v>186</v>
      </c>
      <c r="AC227" s="157" t="s">
        <v>101</v>
      </c>
      <c r="AD227" s="157" t="s">
        <v>150</v>
      </c>
      <c r="AE227" s="157" t="s">
        <v>179</v>
      </c>
    </row>
    <row r="228" spans="1:31" s="59" customFormat="1" ht="14.25">
      <c r="A228" s="208"/>
      <c r="P228" s="209"/>
      <c r="Z228" s="156" t="s">
        <v>190</v>
      </c>
      <c r="AA228" s="157" t="s">
        <v>191</v>
      </c>
      <c r="AB228" s="157" t="s">
        <v>186</v>
      </c>
      <c r="AC228" s="157" t="s">
        <v>101</v>
      </c>
      <c r="AD228" s="157" t="s">
        <v>150</v>
      </c>
      <c r="AE228" s="157" t="s">
        <v>179</v>
      </c>
    </row>
    <row r="229" spans="1:31" s="59" customFormat="1" ht="14.25">
      <c r="A229" s="208"/>
      <c r="P229" s="209"/>
      <c r="Z229" s="156" t="s">
        <v>192</v>
      </c>
      <c r="AA229" s="157" t="s">
        <v>193</v>
      </c>
      <c r="AB229" s="157" t="s">
        <v>186</v>
      </c>
      <c r="AC229" s="157" t="s">
        <v>101</v>
      </c>
      <c r="AD229" s="157" t="s">
        <v>150</v>
      </c>
      <c r="AE229" s="157" t="s">
        <v>179</v>
      </c>
    </row>
    <row r="230" spans="1:31" s="59" customFormat="1" ht="14.25">
      <c r="A230" s="208"/>
      <c r="P230" s="209"/>
      <c r="Z230" s="156" t="s">
        <v>194</v>
      </c>
      <c r="AA230" s="157" t="s">
        <v>195</v>
      </c>
      <c r="AB230" s="157" t="s">
        <v>186</v>
      </c>
      <c r="AC230" s="157" t="s">
        <v>101</v>
      </c>
      <c r="AD230" s="157" t="s">
        <v>150</v>
      </c>
      <c r="AE230" s="157" t="s">
        <v>187</v>
      </c>
    </row>
    <row r="231" spans="1:31" s="59" customFormat="1" ht="14.25">
      <c r="A231" s="208"/>
      <c r="P231" s="209"/>
      <c r="Z231" s="156" t="s">
        <v>196</v>
      </c>
      <c r="AA231" s="157" t="s">
        <v>197</v>
      </c>
      <c r="AB231" s="157" t="s">
        <v>186</v>
      </c>
      <c r="AC231" s="157" t="s">
        <v>101</v>
      </c>
      <c r="AD231" s="157" t="s">
        <v>150</v>
      </c>
      <c r="AE231" s="157" t="s">
        <v>179</v>
      </c>
    </row>
    <row r="232" spans="1:31" s="59" customFormat="1" ht="14.25">
      <c r="A232" s="208"/>
      <c r="P232" s="209"/>
      <c r="Z232" s="156" t="s">
        <v>198</v>
      </c>
      <c r="AA232" s="157" t="s">
        <v>199</v>
      </c>
      <c r="AB232" s="157" t="s">
        <v>186</v>
      </c>
      <c r="AC232" s="157" t="s">
        <v>101</v>
      </c>
      <c r="AD232" s="157" t="s">
        <v>150</v>
      </c>
      <c r="AE232" s="157" t="s">
        <v>179</v>
      </c>
    </row>
    <row r="233" spans="1:31" s="59" customFormat="1" ht="14.25">
      <c r="A233" s="208"/>
      <c r="P233" s="209"/>
      <c r="Z233" s="156" t="s">
        <v>200</v>
      </c>
      <c r="AA233" s="157" t="s">
        <v>201</v>
      </c>
      <c r="AB233" s="157" t="s">
        <v>202</v>
      </c>
      <c r="AC233" s="157" t="s">
        <v>101</v>
      </c>
      <c r="AD233" s="157" t="s">
        <v>150</v>
      </c>
      <c r="AE233" s="157" t="s">
        <v>203</v>
      </c>
    </row>
    <row r="234" spans="1:31" s="59" customFormat="1" ht="14.25">
      <c r="A234" s="208"/>
      <c r="P234" s="209"/>
      <c r="Z234" s="156" t="s">
        <v>204</v>
      </c>
      <c r="AA234" s="157" t="s">
        <v>205</v>
      </c>
      <c r="AB234" s="157" t="s">
        <v>202</v>
      </c>
      <c r="AC234" s="157" t="s">
        <v>101</v>
      </c>
      <c r="AD234" s="157" t="s">
        <v>150</v>
      </c>
      <c r="AE234" s="157" t="s">
        <v>203</v>
      </c>
    </row>
    <row r="235" spans="1:31" s="59" customFormat="1" ht="14.25">
      <c r="A235" s="208"/>
      <c r="P235" s="209"/>
      <c r="Z235" s="156" t="s">
        <v>206</v>
      </c>
      <c r="AA235" s="157" t="s">
        <v>207</v>
      </c>
      <c r="AB235" s="157" t="s">
        <v>202</v>
      </c>
      <c r="AC235" s="157" t="s">
        <v>101</v>
      </c>
      <c r="AD235" s="157" t="s">
        <v>150</v>
      </c>
      <c r="AE235" s="157" t="s">
        <v>162</v>
      </c>
    </row>
    <row r="236" spans="1:31" s="59" customFormat="1" ht="14.25">
      <c r="A236" s="208"/>
      <c r="P236" s="209"/>
      <c r="Z236" s="156" t="s">
        <v>208</v>
      </c>
      <c r="AA236" s="157" t="s">
        <v>209</v>
      </c>
      <c r="AB236" s="157" t="s">
        <v>202</v>
      </c>
      <c r="AC236" s="157" t="s">
        <v>101</v>
      </c>
      <c r="AD236" s="157" t="s">
        <v>150</v>
      </c>
      <c r="AE236" s="157" t="s">
        <v>162</v>
      </c>
    </row>
    <row r="237" spans="1:31" s="59" customFormat="1" ht="14.25">
      <c r="A237" s="208"/>
      <c r="P237" s="209"/>
      <c r="Z237" s="156" t="s">
        <v>210</v>
      </c>
      <c r="AA237" s="157" t="s">
        <v>211</v>
      </c>
      <c r="AB237" s="157" t="s">
        <v>212</v>
      </c>
      <c r="AC237" s="157" t="s">
        <v>101</v>
      </c>
      <c r="AD237" s="157" t="s">
        <v>150</v>
      </c>
      <c r="AE237" s="157" t="s">
        <v>151</v>
      </c>
    </row>
    <row r="238" spans="1:31" s="59" customFormat="1" ht="14.25">
      <c r="A238" s="208"/>
      <c r="P238" s="209"/>
      <c r="Z238" s="156" t="s">
        <v>213</v>
      </c>
      <c r="AA238" s="157" t="s">
        <v>214</v>
      </c>
      <c r="AB238" s="157" t="s">
        <v>212</v>
      </c>
      <c r="AC238" s="157" t="s">
        <v>101</v>
      </c>
      <c r="AD238" s="157" t="s">
        <v>150</v>
      </c>
      <c r="AE238" s="157" t="s">
        <v>151</v>
      </c>
    </row>
    <row r="239" spans="1:31" s="59" customFormat="1" ht="14.25">
      <c r="A239" s="208"/>
      <c r="P239" s="209"/>
      <c r="Z239" s="156" t="s">
        <v>215</v>
      </c>
      <c r="AA239" s="157" t="s">
        <v>216</v>
      </c>
      <c r="AB239" s="157" t="s">
        <v>212</v>
      </c>
      <c r="AC239" s="157" t="s">
        <v>101</v>
      </c>
      <c r="AD239" s="157" t="s">
        <v>150</v>
      </c>
      <c r="AE239" s="157" t="s">
        <v>151</v>
      </c>
    </row>
    <row r="240" spans="1:31" s="59" customFormat="1" ht="14.25">
      <c r="A240" s="208"/>
      <c r="P240" s="209"/>
      <c r="Z240" s="156" t="s">
        <v>217</v>
      </c>
      <c r="AA240" s="157" t="s">
        <v>218</v>
      </c>
      <c r="AB240" s="157" t="s">
        <v>212</v>
      </c>
      <c r="AC240" s="157" t="s">
        <v>101</v>
      </c>
      <c r="AD240" s="157" t="s">
        <v>150</v>
      </c>
      <c r="AE240" s="157" t="s">
        <v>151</v>
      </c>
    </row>
    <row r="241" spans="1:31" s="59" customFormat="1" ht="14.25">
      <c r="A241" s="208"/>
      <c r="P241" s="209"/>
      <c r="Z241" s="156" t="s">
        <v>219</v>
      </c>
      <c r="AA241" s="157" t="s">
        <v>220</v>
      </c>
      <c r="AB241" s="157" t="s">
        <v>221</v>
      </c>
      <c r="AC241" s="157" t="s">
        <v>101</v>
      </c>
      <c r="AD241" s="157" t="s">
        <v>161</v>
      </c>
      <c r="AE241" s="157" t="s">
        <v>162</v>
      </c>
    </row>
    <row r="242" spans="1:31" s="59" customFormat="1" ht="14.25">
      <c r="A242" s="208"/>
      <c r="P242" s="209"/>
      <c r="Z242" s="156" t="s">
        <v>222</v>
      </c>
      <c r="AA242" s="157" t="s">
        <v>223</v>
      </c>
      <c r="AB242" s="157" t="s">
        <v>221</v>
      </c>
      <c r="AC242" s="157" t="s">
        <v>101</v>
      </c>
      <c r="AD242" s="157" t="s">
        <v>161</v>
      </c>
      <c r="AE242" s="157" t="s">
        <v>169</v>
      </c>
    </row>
    <row r="243" spans="1:31" s="59" customFormat="1" ht="14.25">
      <c r="A243" s="208"/>
      <c r="P243" s="209"/>
      <c r="Z243" s="156" t="s">
        <v>224</v>
      </c>
      <c r="AA243" s="157" t="s">
        <v>225</v>
      </c>
      <c r="AB243" s="157" t="s">
        <v>221</v>
      </c>
      <c r="AC243" s="157" t="s">
        <v>101</v>
      </c>
      <c r="AD243" s="157" t="s">
        <v>161</v>
      </c>
      <c r="AE243" s="157" t="s">
        <v>169</v>
      </c>
    </row>
    <row r="244" spans="1:31" s="59" customFormat="1" ht="14.25">
      <c r="A244" s="208"/>
      <c r="P244" s="209"/>
      <c r="Z244" s="156" t="s">
        <v>226</v>
      </c>
      <c r="AA244" s="157" t="s">
        <v>227</v>
      </c>
      <c r="AB244" s="157" t="s">
        <v>221</v>
      </c>
      <c r="AC244" s="157" t="s">
        <v>101</v>
      </c>
      <c r="AD244" s="157" t="s">
        <v>161</v>
      </c>
      <c r="AE244" s="157" t="s">
        <v>169</v>
      </c>
    </row>
    <row r="245" spans="1:31" s="59" customFormat="1" ht="14.25">
      <c r="A245" s="208"/>
      <c r="P245" s="209"/>
      <c r="Z245" s="156" t="s">
        <v>228</v>
      </c>
      <c r="AA245" s="157" t="s">
        <v>229</v>
      </c>
      <c r="AB245" s="157" t="s">
        <v>230</v>
      </c>
      <c r="AC245" s="157" t="s">
        <v>101</v>
      </c>
      <c r="AD245" s="157" t="s">
        <v>161</v>
      </c>
      <c r="AE245" s="157" t="s">
        <v>162</v>
      </c>
    </row>
    <row r="246" spans="1:31" s="59" customFormat="1" ht="14.25">
      <c r="A246" s="208"/>
      <c r="P246" s="209"/>
      <c r="Z246" s="156" t="s">
        <v>231</v>
      </c>
      <c r="AA246" s="157" t="s">
        <v>232</v>
      </c>
      <c r="AB246" s="157" t="s">
        <v>230</v>
      </c>
      <c r="AC246" s="157" t="s">
        <v>101</v>
      </c>
      <c r="AD246" s="157" t="s">
        <v>161</v>
      </c>
      <c r="AE246" s="157" t="s">
        <v>169</v>
      </c>
    </row>
    <row r="247" spans="1:31" s="59" customFormat="1" ht="14.25">
      <c r="A247" s="208"/>
      <c r="P247" s="209"/>
      <c r="Z247" s="156" t="s">
        <v>233</v>
      </c>
      <c r="AA247" s="157" t="s">
        <v>234</v>
      </c>
      <c r="AB247" s="157" t="s">
        <v>230</v>
      </c>
      <c r="AC247" s="157" t="s">
        <v>101</v>
      </c>
      <c r="AD247" s="157" t="s">
        <v>161</v>
      </c>
      <c r="AE247" s="157" t="s">
        <v>162</v>
      </c>
    </row>
    <row r="248" spans="1:31" s="59" customFormat="1" ht="14.25">
      <c r="A248" s="208"/>
      <c r="P248" s="209"/>
      <c r="Z248" s="156" t="s">
        <v>235</v>
      </c>
      <c r="AA248" s="157" t="s">
        <v>236</v>
      </c>
      <c r="AB248" s="157" t="s">
        <v>237</v>
      </c>
      <c r="AC248" s="157" t="s">
        <v>101</v>
      </c>
      <c r="AD248" s="157" t="s">
        <v>161</v>
      </c>
      <c r="AE248" s="157" t="s">
        <v>169</v>
      </c>
    </row>
    <row r="249" spans="1:31" s="59" customFormat="1" ht="14.25">
      <c r="A249" s="208"/>
      <c r="P249" s="209"/>
      <c r="Z249" s="156" t="s">
        <v>238</v>
      </c>
      <c r="AA249" s="157" t="s">
        <v>239</v>
      </c>
      <c r="AB249" s="157" t="s">
        <v>237</v>
      </c>
      <c r="AC249" s="157" t="s">
        <v>101</v>
      </c>
      <c r="AD249" s="157" t="s">
        <v>161</v>
      </c>
      <c r="AE249" s="157" t="s">
        <v>169</v>
      </c>
    </row>
    <row r="250" spans="1:31" s="59" customFormat="1" ht="14.25">
      <c r="A250" s="208"/>
      <c r="P250" s="209"/>
      <c r="Z250" s="156" t="s">
        <v>240</v>
      </c>
      <c r="AA250" s="157" t="s">
        <v>241</v>
      </c>
      <c r="AB250" s="157" t="s">
        <v>237</v>
      </c>
      <c r="AC250" s="157" t="s">
        <v>101</v>
      </c>
      <c r="AD250" s="157" t="s">
        <v>161</v>
      </c>
      <c r="AE250" s="157" t="s">
        <v>169</v>
      </c>
    </row>
    <row r="251" spans="1:31" s="59" customFormat="1" ht="14.25">
      <c r="A251" s="208"/>
      <c r="P251" s="209"/>
      <c r="Z251" s="156" t="s">
        <v>242</v>
      </c>
      <c r="AA251" s="157" t="s">
        <v>243</v>
      </c>
      <c r="AB251" s="157" t="s">
        <v>237</v>
      </c>
      <c r="AC251" s="157" t="s">
        <v>101</v>
      </c>
      <c r="AD251" s="157" t="s">
        <v>161</v>
      </c>
      <c r="AE251" s="157" t="s">
        <v>169</v>
      </c>
    </row>
    <row r="252" spans="1:31" s="59" customFormat="1" ht="14.25">
      <c r="A252" s="208"/>
      <c r="P252" s="209"/>
      <c r="Z252" s="156" t="s">
        <v>244</v>
      </c>
      <c r="AA252" s="157" t="s">
        <v>245</v>
      </c>
      <c r="AB252" s="157" t="s">
        <v>246</v>
      </c>
      <c r="AC252" s="157" t="s">
        <v>101</v>
      </c>
      <c r="AD252" s="157" t="s">
        <v>161</v>
      </c>
      <c r="AE252" s="157" t="s">
        <v>169</v>
      </c>
    </row>
    <row r="253" spans="1:31" s="59" customFormat="1" ht="14.25">
      <c r="A253" s="208"/>
      <c r="P253" s="209"/>
      <c r="Z253" s="156" t="s">
        <v>247</v>
      </c>
      <c r="AA253" s="157" t="s">
        <v>248</v>
      </c>
      <c r="AB253" s="157" t="s">
        <v>246</v>
      </c>
      <c r="AC253" s="157" t="s">
        <v>101</v>
      </c>
      <c r="AD253" s="157" t="s">
        <v>161</v>
      </c>
      <c r="AE253" s="157" t="s">
        <v>169</v>
      </c>
    </row>
    <row r="254" spans="1:31" s="59" customFormat="1" ht="14.25">
      <c r="A254" s="208"/>
      <c r="P254" s="209"/>
      <c r="Z254" s="156" t="s">
        <v>249</v>
      </c>
      <c r="AA254" s="157" t="s">
        <v>250</v>
      </c>
      <c r="AB254" s="157" t="s">
        <v>246</v>
      </c>
      <c r="AC254" s="157" t="s">
        <v>101</v>
      </c>
      <c r="AD254" s="157" t="s">
        <v>161</v>
      </c>
      <c r="AE254" s="157" t="s">
        <v>251</v>
      </c>
    </row>
    <row r="255" spans="1:31" s="59" customFormat="1" ht="14.25">
      <c r="A255" s="208"/>
      <c r="P255" s="209"/>
      <c r="Z255" s="156" t="s">
        <v>252</v>
      </c>
      <c r="AA255" s="157" t="s">
        <v>253</v>
      </c>
      <c r="AB255" s="157" t="s">
        <v>246</v>
      </c>
      <c r="AC255" s="157" t="s">
        <v>101</v>
      </c>
      <c r="AD255" s="157" t="s">
        <v>161</v>
      </c>
      <c r="AE255" s="157" t="s">
        <v>169</v>
      </c>
    </row>
    <row r="256" spans="1:31" s="59" customFormat="1" ht="14.25">
      <c r="A256" s="208"/>
      <c r="P256" s="209"/>
      <c r="Z256" s="156" t="s">
        <v>254</v>
      </c>
      <c r="AA256" s="157" t="s">
        <v>255</v>
      </c>
      <c r="AB256" s="157" t="s">
        <v>246</v>
      </c>
      <c r="AC256" s="157" t="s">
        <v>101</v>
      </c>
      <c r="AD256" s="157" t="s">
        <v>161</v>
      </c>
      <c r="AE256" s="157" t="s">
        <v>169</v>
      </c>
    </row>
    <row r="257" spans="1:31" s="59" customFormat="1" ht="14.25">
      <c r="A257" s="208"/>
      <c r="P257" s="209"/>
      <c r="Z257" s="156" t="s">
        <v>256</v>
      </c>
      <c r="AA257" s="157" t="s">
        <v>257</v>
      </c>
      <c r="AB257" s="157" t="s">
        <v>258</v>
      </c>
      <c r="AC257" s="157" t="s">
        <v>101</v>
      </c>
      <c r="AD257" s="157" t="s">
        <v>161</v>
      </c>
      <c r="AE257" s="157" t="s">
        <v>169</v>
      </c>
    </row>
    <row r="258" spans="1:31" s="59" customFormat="1" ht="14.25">
      <c r="A258" s="208"/>
      <c r="P258" s="209"/>
      <c r="Z258" s="156" t="s">
        <v>259</v>
      </c>
      <c r="AA258" s="157" t="s">
        <v>260</v>
      </c>
      <c r="AB258" s="157" t="s">
        <v>258</v>
      </c>
      <c r="AC258" s="157" t="s">
        <v>101</v>
      </c>
      <c r="AD258" s="157" t="s">
        <v>161</v>
      </c>
      <c r="AE258" s="157" t="s">
        <v>169</v>
      </c>
    </row>
    <row r="259" spans="1:31" s="59" customFormat="1" ht="14.25">
      <c r="A259" s="208"/>
      <c r="P259" s="209"/>
      <c r="Z259" s="156" t="s">
        <v>261</v>
      </c>
      <c r="AA259" s="157" t="s">
        <v>262</v>
      </c>
      <c r="AB259" s="157" t="s">
        <v>258</v>
      </c>
      <c r="AC259" s="157" t="s">
        <v>101</v>
      </c>
      <c r="AD259" s="157" t="s">
        <v>161</v>
      </c>
      <c r="AE259" s="157" t="s">
        <v>169</v>
      </c>
    </row>
    <row r="260" spans="1:31" s="59" customFormat="1" ht="14.25">
      <c r="A260" s="208"/>
      <c r="P260" s="209"/>
      <c r="Z260" s="156" t="s">
        <v>263</v>
      </c>
      <c r="AA260" s="157" t="s">
        <v>264</v>
      </c>
      <c r="AB260" s="157" t="s">
        <v>265</v>
      </c>
      <c r="AC260" s="157" t="s">
        <v>101</v>
      </c>
      <c r="AD260" s="157" t="s">
        <v>161</v>
      </c>
      <c r="AE260" s="157" t="s">
        <v>169</v>
      </c>
    </row>
    <row r="261" spans="1:31" s="59" customFormat="1" ht="14.25">
      <c r="A261" s="208"/>
      <c r="P261" s="209"/>
      <c r="Z261" s="156" t="s">
        <v>266</v>
      </c>
      <c r="AA261" s="157" t="s">
        <v>267</v>
      </c>
      <c r="AB261" s="157" t="s">
        <v>265</v>
      </c>
      <c r="AC261" s="157" t="s">
        <v>102</v>
      </c>
      <c r="AD261" s="157" t="s">
        <v>161</v>
      </c>
      <c r="AE261" s="157" t="s">
        <v>169</v>
      </c>
    </row>
    <row r="262" spans="1:31" s="59" customFormat="1" ht="14.25">
      <c r="A262" s="208"/>
      <c r="P262" s="209"/>
      <c r="Z262" s="156" t="s">
        <v>268</v>
      </c>
      <c r="AA262" s="157" t="s">
        <v>269</v>
      </c>
      <c r="AB262" s="157" t="s">
        <v>265</v>
      </c>
      <c r="AC262" s="157" t="s">
        <v>101</v>
      </c>
      <c r="AD262" s="157" t="s">
        <v>161</v>
      </c>
      <c r="AE262" s="157" t="s">
        <v>169</v>
      </c>
    </row>
    <row r="263" spans="1:31" s="59" customFormat="1" ht="14.25">
      <c r="A263" s="208"/>
      <c r="P263" s="209"/>
      <c r="Z263" s="156" t="s">
        <v>270</v>
      </c>
      <c r="AA263" s="157" t="s">
        <v>271</v>
      </c>
      <c r="AB263" s="157" t="s">
        <v>265</v>
      </c>
      <c r="AC263" s="157" t="s">
        <v>101</v>
      </c>
      <c r="AD263" s="157" t="s">
        <v>161</v>
      </c>
      <c r="AE263" s="157" t="s">
        <v>169</v>
      </c>
    </row>
    <row r="264" spans="1:31" s="59" customFormat="1" ht="14.25">
      <c r="A264" s="208"/>
      <c r="P264" s="209"/>
      <c r="Z264" s="156" t="s">
        <v>272</v>
      </c>
      <c r="AA264" s="157" t="s">
        <v>273</v>
      </c>
      <c r="AB264" s="157" t="s">
        <v>265</v>
      </c>
      <c r="AC264" s="157" t="s">
        <v>101</v>
      </c>
      <c r="AD264" s="157" t="s">
        <v>161</v>
      </c>
      <c r="AE264" s="157" t="s">
        <v>169</v>
      </c>
    </row>
    <row r="265" spans="1:31" s="59" customFormat="1" ht="14.25">
      <c r="A265" s="208"/>
      <c r="P265" s="209"/>
      <c r="Z265" s="156" t="s">
        <v>274</v>
      </c>
      <c r="AA265" s="157" t="s">
        <v>275</v>
      </c>
      <c r="AB265" s="157" t="s">
        <v>276</v>
      </c>
      <c r="AC265" s="157" t="s">
        <v>101</v>
      </c>
      <c r="AD265" s="157" t="s">
        <v>161</v>
      </c>
      <c r="AE265" s="157" t="s">
        <v>169</v>
      </c>
    </row>
    <row r="266" spans="1:31" s="59" customFormat="1" ht="14.25">
      <c r="A266" s="208"/>
      <c r="P266" s="209"/>
      <c r="Z266" s="156" t="s">
        <v>277</v>
      </c>
      <c r="AA266" s="157" t="s">
        <v>278</v>
      </c>
      <c r="AB266" s="157" t="s">
        <v>276</v>
      </c>
      <c r="AC266" s="157" t="s">
        <v>101</v>
      </c>
      <c r="AD266" s="157" t="s">
        <v>161</v>
      </c>
      <c r="AE266" s="157" t="s">
        <v>179</v>
      </c>
    </row>
    <row r="267" spans="1:31" s="59" customFormat="1" ht="14.25">
      <c r="A267" s="208"/>
      <c r="P267" s="209"/>
      <c r="Z267" s="156" t="s">
        <v>279</v>
      </c>
      <c r="AA267" s="157" t="s">
        <v>280</v>
      </c>
      <c r="AB267" s="157" t="s">
        <v>276</v>
      </c>
      <c r="AC267" s="157" t="s">
        <v>102</v>
      </c>
      <c r="AD267" s="157" t="s">
        <v>161</v>
      </c>
      <c r="AE267" s="157" t="s">
        <v>169</v>
      </c>
    </row>
    <row r="268" spans="1:31" s="59" customFormat="1" ht="14.25">
      <c r="A268" s="208"/>
      <c r="P268" s="209"/>
      <c r="Z268" s="156" t="s">
        <v>281</v>
      </c>
      <c r="AA268" s="157" t="s">
        <v>282</v>
      </c>
      <c r="AB268" s="157" t="s">
        <v>283</v>
      </c>
      <c r="AC268" s="157" t="s">
        <v>101</v>
      </c>
      <c r="AD268" s="157" t="s">
        <v>150</v>
      </c>
      <c r="AE268" s="157" t="s">
        <v>169</v>
      </c>
    </row>
    <row r="269" spans="1:31" s="59" customFormat="1" ht="14.25">
      <c r="A269" s="208"/>
      <c r="P269" s="209"/>
      <c r="Z269" s="156" t="s">
        <v>284</v>
      </c>
      <c r="AA269" s="157" t="s">
        <v>285</v>
      </c>
      <c r="AB269" s="157" t="s">
        <v>283</v>
      </c>
      <c r="AC269" s="157" t="s">
        <v>101</v>
      </c>
      <c r="AD269" s="157" t="s">
        <v>150</v>
      </c>
      <c r="AE269" s="157" t="s">
        <v>169</v>
      </c>
    </row>
    <row r="270" spans="1:31" s="59" customFormat="1" ht="14.25">
      <c r="A270" s="208"/>
      <c r="P270" s="209"/>
      <c r="Z270" s="156" t="s">
        <v>286</v>
      </c>
      <c r="AA270" s="157" t="s">
        <v>287</v>
      </c>
      <c r="AB270" s="157" t="s">
        <v>283</v>
      </c>
      <c r="AC270" s="157" t="s">
        <v>101</v>
      </c>
      <c r="AD270" s="157" t="s">
        <v>150</v>
      </c>
      <c r="AE270" s="157" t="s">
        <v>169</v>
      </c>
    </row>
    <row r="271" spans="1:31" s="59" customFormat="1" ht="14.25">
      <c r="A271" s="208"/>
      <c r="P271" s="209"/>
      <c r="Z271" s="156" t="s">
        <v>288</v>
      </c>
      <c r="AA271" s="157" t="s">
        <v>289</v>
      </c>
      <c r="AB271" s="157" t="s">
        <v>283</v>
      </c>
      <c r="AC271" s="157" t="s">
        <v>101</v>
      </c>
      <c r="AD271" s="157" t="s">
        <v>150</v>
      </c>
      <c r="AE271" s="157" t="s">
        <v>290</v>
      </c>
    </row>
    <row r="272" spans="1:31" s="59" customFormat="1" ht="14.25">
      <c r="A272" s="208"/>
      <c r="P272" s="209"/>
      <c r="Z272" s="156" t="s">
        <v>291</v>
      </c>
      <c r="AA272" s="157" t="s">
        <v>292</v>
      </c>
      <c r="AB272" s="157" t="s">
        <v>283</v>
      </c>
      <c r="AC272" s="157" t="s">
        <v>101</v>
      </c>
      <c r="AD272" s="157" t="s">
        <v>150</v>
      </c>
      <c r="AE272" s="157" t="s">
        <v>169</v>
      </c>
    </row>
    <row r="273" spans="1:31" s="59" customFormat="1" ht="14.25">
      <c r="A273" s="208"/>
      <c r="P273" s="209"/>
      <c r="Z273" s="156" t="s">
        <v>293</v>
      </c>
      <c r="AA273" s="157" t="s">
        <v>294</v>
      </c>
      <c r="AB273" s="157" t="s">
        <v>283</v>
      </c>
      <c r="AC273" s="157" t="s">
        <v>101</v>
      </c>
      <c r="AD273" s="157" t="s">
        <v>150</v>
      </c>
      <c r="AE273" s="157" t="s">
        <v>151</v>
      </c>
    </row>
    <row r="274" spans="1:31" s="59" customFormat="1" ht="14.25">
      <c r="A274" s="208"/>
      <c r="P274" s="209"/>
      <c r="Z274" s="156" t="s">
        <v>295</v>
      </c>
      <c r="AA274" s="157" t="s">
        <v>296</v>
      </c>
      <c r="AB274" s="157" t="s">
        <v>297</v>
      </c>
      <c r="AC274" s="157" t="s">
        <v>102</v>
      </c>
      <c r="AD274" s="157" t="s">
        <v>298</v>
      </c>
      <c r="AE274" s="157" t="s">
        <v>299</v>
      </c>
    </row>
    <row r="275" spans="1:31" s="59" customFormat="1" ht="14.25">
      <c r="A275" s="208"/>
      <c r="P275" s="209"/>
      <c r="Z275" s="156" t="s">
        <v>300</v>
      </c>
      <c r="AA275" s="157" t="s">
        <v>301</v>
      </c>
      <c r="AB275" s="157" t="s">
        <v>297</v>
      </c>
      <c r="AC275" s="157" t="s">
        <v>101</v>
      </c>
      <c r="AD275" s="157" t="s">
        <v>298</v>
      </c>
      <c r="AE275" s="157" t="s">
        <v>162</v>
      </c>
    </row>
    <row r="276" spans="1:31" s="59" customFormat="1" ht="14.25">
      <c r="A276" s="208"/>
      <c r="P276" s="209"/>
      <c r="Z276" s="156" t="s">
        <v>302</v>
      </c>
      <c r="AA276" s="157" t="s">
        <v>303</v>
      </c>
      <c r="AB276" s="157" t="s">
        <v>297</v>
      </c>
      <c r="AC276" s="157" t="s">
        <v>102</v>
      </c>
      <c r="AD276" s="157" t="s">
        <v>298</v>
      </c>
      <c r="AE276" s="157" t="s">
        <v>299</v>
      </c>
    </row>
    <row r="277" spans="1:31" s="59" customFormat="1" ht="14.25">
      <c r="A277" s="208"/>
      <c r="P277" s="209"/>
      <c r="Z277" s="156" t="s">
        <v>304</v>
      </c>
      <c r="AA277" s="157" t="s">
        <v>305</v>
      </c>
      <c r="AB277" s="157" t="s">
        <v>297</v>
      </c>
      <c r="AC277" s="157" t="s">
        <v>102</v>
      </c>
      <c r="AD277" s="157" t="s">
        <v>298</v>
      </c>
      <c r="AE277" s="157" t="s">
        <v>299</v>
      </c>
    </row>
    <row r="278" spans="1:31" s="59" customFormat="1" ht="14.25">
      <c r="A278" s="208"/>
      <c r="P278" s="209"/>
      <c r="Z278" s="156" t="s">
        <v>306</v>
      </c>
      <c r="AA278" s="157" t="s">
        <v>307</v>
      </c>
      <c r="AB278" s="157" t="s">
        <v>297</v>
      </c>
      <c r="AC278" s="157" t="s">
        <v>101</v>
      </c>
      <c r="AD278" s="157" t="s">
        <v>298</v>
      </c>
      <c r="AE278" s="157" t="s">
        <v>162</v>
      </c>
    </row>
    <row r="279" spans="1:31" s="59" customFormat="1" ht="14.25">
      <c r="A279" s="208"/>
      <c r="P279" s="209"/>
      <c r="Z279" s="156" t="s">
        <v>308</v>
      </c>
      <c r="AA279" s="157" t="s">
        <v>309</v>
      </c>
      <c r="AB279" s="157" t="s">
        <v>310</v>
      </c>
      <c r="AC279" s="157" t="s">
        <v>102</v>
      </c>
      <c r="AD279" s="157" t="s">
        <v>298</v>
      </c>
      <c r="AE279" s="157" t="s">
        <v>299</v>
      </c>
    </row>
    <row r="280" spans="1:31" s="59" customFormat="1" ht="14.25">
      <c r="A280" s="208"/>
      <c r="P280" s="209"/>
      <c r="Z280" s="156" t="s">
        <v>311</v>
      </c>
      <c r="AA280" s="157" t="s">
        <v>312</v>
      </c>
      <c r="AB280" s="157" t="s">
        <v>310</v>
      </c>
      <c r="AC280" s="157" t="s">
        <v>101</v>
      </c>
      <c r="AD280" s="157" t="s">
        <v>298</v>
      </c>
      <c r="AE280" s="157" t="s">
        <v>162</v>
      </c>
    </row>
    <row r="281" spans="1:31" s="59" customFormat="1" ht="14.25">
      <c r="A281" s="208"/>
      <c r="P281" s="209"/>
      <c r="Z281" s="156" t="s">
        <v>313</v>
      </c>
      <c r="AA281" s="157" t="s">
        <v>314</v>
      </c>
      <c r="AB281" s="157" t="s">
        <v>315</v>
      </c>
      <c r="AC281" s="157" t="s">
        <v>101</v>
      </c>
      <c r="AD281" s="157" t="s">
        <v>298</v>
      </c>
      <c r="AE281" s="157" t="s">
        <v>162</v>
      </c>
    </row>
    <row r="282" spans="1:31" s="59" customFormat="1" ht="14.25">
      <c r="A282" s="208"/>
      <c r="P282" s="209"/>
      <c r="Z282" s="156" t="s">
        <v>316</v>
      </c>
      <c r="AA282" s="157" t="s">
        <v>317</v>
      </c>
      <c r="AB282" s="157" t="s">
        <v>318</v>
      </c>
      <c r="AC282" s="157" t="s">
        <v>101</v>
      </c>
      <c r="AD282" s="157" t="s">
        <v>150</v>
      </c>
      <c r="AE282" s="157" t="s">
        <v>203</v>
      </c>
    </row>
    <row r="283" spans="1:31" s="59" customFormat="1" ht="14.25">
      <c r="A283" s="208"/>
      <c r="P283" s="209"/>
      <c r="Z283" s="156" t="s">
        <v>319</v>
      </c>
      <c r="AA283" s="157" t="s">
        <v>320</v>
      </c>
      <c r="AB283" s="157" t="s">
        <v>321</v>
      </c>
      <c r="AC283" s="157" t="s">
        <v>101</v>
      </c>
      <c r="AD283" s="157" t="s">
        <v>150</v>
      </c>
      <c r="AE283" s="157" t="s">
        <v>290</v>
      </c>
    </row>
    <row r="284" spans="1:31" s="59" customFormat="1" ht="14.25">
      <c r="A284" s="208"/>
      <c r="P284" s="209"/>
      <c r="Z284" s="156" t="s">
        <v>322</v>
      </c>
      <c r="AA284" s="157" t="s">
        <v>323</v>
      </c>
      <c r="AB284" s="157" t="s">
        <v>321</v>
      </c>
      <c r="AC284" s="157" t="s">
        <v>101</v>
      </c>
      <c r="AD284" s="157" t="s">
        <v>150</v>
      </c>
      <c r="AE284" s="157" t="s">
        <v>290</v>
      </c>
    </row>
    <row r="285" spans="1:31" s="59" customFormat="1" ht="14.25">
      <c r="A285" s="208"/>
      <c r="P285" s="209"/>
      <c r="Z285" s="156" t="s">
        <v>324</v>
      </c>
      <c r="AA285" s="157" t="s">
        <v>325</v>
      </c>
      <c r="AB285" s="157" t="s">
        <v>321</v>
      </c>
      <c r="AC285" s="157" t="s">
        <v>101</v>
      </c>
      <c r="AD285" s="157" t="s">
        <v>150</v>
      </c>
      <c r="AE285" s="157" t="s">
        <v>290</v>
      </c>
    </row>
    <row r="286" spans="1:31" s="59" customFormat="1" ht="14.25">
      <c r="A286" s="208"/>
      <c r="P286" s="209"/>
      <c r="Z286" s="156" t="s">
        <v>326</v>
      </c>
      <c r="AA286" s="157" t="s">
        <v>327</v>
      </c>
      <c r="AB286" s="157" t="s">
        <v>321</v>
      </c>
      <c r="AC286" s="157" t="s">
        <v>101</v>
      </c>
      <c r="AD286" s="157" t="s">
        <v>150</v>
      </c>
      <c r="AE286" s="157" t="s">
        <v>290</v>
      </c>
    </row>
    <row r="287" spans="1:31" s="59" customFormat="1" ht="14.25">
      <c r="A287" s="208"/>
      <c r="P287" s="209"/>
      <c r="Z287" s="156" t="s">
        <v>328</v>
      </c>
      <c r="AA287" s="157" t="s">
        <v>329</v>
      </c>
      <c r="AB287" s="157" t="s">
        <v>321</v>
      </c>
      <c r="AC287" s="157" t="s">
        <v>101</v>
      </c>
      <c r="AD287" s="157" t="s">
        <v>150</v>
      </c>
      <c r="AE287" s="157" t="s">
        <v>290</v>
      </c>
    </row>
    <row r="288" spans="1:31" s="59" customFormat="1" ht="14.25">
      <c r="A288" s="208"/>
      <c r="P288" s="209"/>
      <c r="Z288" s="156" t="s">
        <v>330</v>
      </c>
      <c r="AA288" s="157" t="s">
        <v>331</v>
      </c>
      <c r="AB288" s="157" t="s">
        <v>321</v>
      </c>
      <c r="AC288" s="157" t="s">
        <v>101</v>
      </c>
      <c r="AD288" s="157" t="s">
        <v>150</v>
      </c>
      <c r="AE288" s="157" t="s">
        <v>169</v>
      </c>
    </row>
    <row r="289" spans="1:31" s="59" customFormat="1" ht="14.25">
      <c r="A289" s="208"/>
      <c r="P289" s="209"/>
      <c r="Z289" s="156" t="s">
        <v>332</v>
      </c>
      <c r="AA289" s="157" t="s">
        <v>333</v>
      </c>
      <c r="AB289" s="157" t="s">
        <v>321</v>
      </c>
      <c r="AC289" s="157" t="s">
        <v>101</v>
      </c>
      <c r="AD289" s="157" t="s">
        <v>150</v>
      </c>
      <c r="AE289" s="157" t="s">
        <v>151</v>
      </c>
    </row>
    <row r="290" spans="1:31" s="59" customFormat="1" ht="14.25">
      <c r="A290" s="208"/>
      <c r="P290" s="209"/>
      <c r="Z290" s="156" t="s">
        <v>334</v>
      </c>
      <c r="AA290" s="157" t="s">
        <v>335</v>
      </c>
      <c r="AB290" s="157" t="s">
        <v>336</v>
      </c>
      <c r="AC290" s="157" t="s">
        <v>101</v>
      </c>
      <c r="AD290" s="157" t="s">
        <v>161</v>
      </c>
      <c r="AE290" s="157" t="s">
        <v>162</v>
      </c>
    </row>
    <row r="291" spans="1:31" s="59" customFormat="1" ht="14.25">
      <c r="A291" s="208"/>
      <c r="P291" s="209"/>
      <c r="Z291" s="156" t="s">
        <v>337</v>
      </c>
      <c r="AA291" s="157" t="s">
        <v>338</v>
      </c>
      <c r="AB291" s="157" t="s">
        <v>336</v>
      </c>
      <c r="AC291" s="157" t="s">
        <v>101</v>
      </c>
      <c r="AD291" s="157" t="s">
        <v>161</v>
      </c>
      <c r="AE291" s="157" t="s">
        <v>162</v>
      </c>
    </row>
    <row r="292" spans="1:31" s="59" customFormat="1" ht="14.25">
      <c r="A292" s="208"/>
      <c r="P292" s="209"/>
      <c r="Z292" s="156" t="s">
        <v>339</v>
      </c>
      <c r="AA292" s="157" t="s">
        <v>340</v>
      </c>
      <c r="AB292" s="157" t="s">
        <v>336</v>
      </c>
      <c r="AC292" s="157" t="s">
        <v>101</v>
      </c>
      <c r="AD292" s="157" t="s">
        <v>161</v>
      </c>
      <c r="AE292" s="157" t="s">
        <v>162</v>
      </c>
    </row>
    <row r="293" spans="1:31" s="59" customFormat="1" ht="14.25">
      <c r="A293" s="208"/>
      <c r="P293" s="209"/>
      <c r="Z293" s="156" t="s">
        <v>341</v>
      </c>
      <c r="AA293" s="157" t="s">
        <v>342</v>
      </c>
      <c r="AB293" s="157" t="s">
        <v>336</v>
      </c>
      <c r="AC293" s="157" t="s">
        <v>101</v>
      </c>
      <c r="AD293" s="157" t="s">
        <v>150</v>
      </c>
      <c r="AE293" s="157" t="s">
        <v>179</v>
      </c>
    </row>
    <row r="294" spans="1:31" s="59" customFormat="1" ht="14.25">
      <c r="A294" s="208"/>
      <c r="P294" s="209"/>
      <c r="Z294" s="156" t="s">
        <v>343</v>
      </c>
      <c r="AA294" s="157" t="s">
        <v>344</v>
      </c>
      <c r="AB294" s="157" t="s">
        <v>336</v>
      </c>
      <c r="AC294" s="157" t="s">
        <v>101</v>
      </c>
      <c r="AD294" s="157" t="s">
        <v>161</v>
      </c>
      <c r="AE294" s="157" t="s">
        <v>162</v>
      </c>
    </row>
    <row r="295" spans="1:31" s="59" customFormat="1" ht="14.25">
      <c r="A295" s="208"/>
      <c r="P295" s="209"/>
      <c r="Z295" s="156" t="s">
        <v>345</v>
      </c>
      <c r="AA295" s="157" t="s">
        <v>346</v>
      </c>
      <c r="AB295" s="157" t="s">
        <v>347</v>
      </c>
      <c r="AC295" s="157" t="s">
        <v>101</v>
      </c>
      <c r="AD295" s="157" t="s">
        <v>161</v>
      </c>
      <c r="AE295" s="157" t="s">
        <v>169</v>
      </c>
    </row>
    <row r="296" spans="1:31" s="59" customFormat="1" ht="14.25">
      <c r="A296" s="208"/>
      <c r="P296" s="209"/>
      <c r="Z296" s="156" t="s">
        <v>10</v>
      </c>
      <c r="AA296" s="157" t="s">
        <v>348</v>
      </c>
      <c r="AB296" s="157" t="s">
        <v>347</v>
      </c>
      <c r="AC296" s="157" t="s">
        <v>101</v>
      </c>
      <c r="AD296" s="157" t="s">
        <v>161</v>
      </c>
      <c r="AE296" s="157" t="s">
        <v>169</v>
      </c>
    </row>
    <row r="297" spans="1:31" s="59" customFormat="1" ht="14.25">
      <c r="A297" s="208"/>
      <c r="P297" s="209"/>
      <c r="Z297" s="156" t="s">
        <v>349</v>
      </c>
      <c r="AA297" s="157" t="s">
        <v>350</v>
      </c>
      <c r="AB297" s="157" t="s">
        <v>347</v>
      </c>
      <c r="AC297" s="157" t="s">
        <v>101</v>
      </c>
      <c r="AD297" s="157" t="s">
        <v>161</v>
      </c>
      <c r="AE297" s="157" t="s">
        <v>169</v>
      </c>
    </row>
    <row r="298" spans="1:31" s="59" customFormat="1" ht="14.25">
      <c r="A298" s="208"/>
      <c r="P298" s="209"/>
      <c r="Z298" s="156" t="s">
        <v>351</v>
      </c>
      <c r="AA298" s="157" t="s">
        <v>352</v>
      </c>
      <c r="AB298" s="157" t="s">
        <v>353</v>
      </c>
      <c r="AC298" s="157" t="s">
        <v>101</v>
      </c>
      <c r="AD298" s="157" t="s">
        <v>298</v>
      </c>
      <c r="AE298" s="157" t="s">
        <v>162</v>
      </c>
    </row>
    <row r="299" spans="1:31" s="59" customFormat="1" ht="14.25">
      <c r="A299" s="208"/>
      <c r="P299" s="209"/>
      <c r="Z299" s="156" t="s">
        <v>354</v>
      </c>
      <c r="AA299" s="157" t="s">
        <v>355</v>
      </c>
      <c r="AB299" s="157" t="s">
        <v>353</v>
      </c>
      <c r="AC299" s="157" t="s">
        <v>101</v>
      </c>
      <c r="AD299" s="157" t="s">
        <v>298</v>
      </c>
      <c r="AE299" s="157" t="s">
        <v>162</v>
      </c>
    </row>
    <row r="300" spans="1:31" s="59" customFormat="1" ht="14.25">
      <c r="A300" s="208"/>
      <c r="P300" s="209"/>
      <c r="Z300" s="156" t="s">
        <v>356</v>
      </c>
      <c r="AA300" s="157" t="s">
        <v>357</v>
      </c>
      <c r="AB300" s="157" t="s">
        <v>265</v>
      </c>
      <c r="AC300" s="157" t="s">
        <v>101</v>
      </c>
      <c r="AD300" s="157" t="s">
        <v>161</v>
      </c>
      <c r="AE300" s="157" t="s">
        <v>169</v>
      </c>
    </row>
    <row r="301" spans="1:31" s="59" customFormat="1">
      <c r="A301" s="208"/>
      <c r="P301" s="209"/>
      <c r="Z301" s="212"/>
    </row>
    <row r="302" spans="1:31" s="59" customFormat="1">
      <c r="A302" s="208"/>
      <c r="P302" s="209"/>
      <c r="Z302" s="212"/>
    </row>
    <row r="303" spans="1:31" s="59" customFormat="1">
      <c r="A303" s="208"/>
      <c r="P303" s="209"/>
      <c r="Z303" s="212"/>
    </row>
    <row r="304" spans="1:31" s="59" customFormat="1">
      <c r="A304" s="208"/>
      <c r="P304" s="209"/>
      <c r="Z304" s="212"/>
    </row>
    <row r="305" spans="1:27" s="59" customFormat="1" ht="12">
      <c r="A305" s="208"/>
      <c r="P305" s="209"/>
      <c r="Z305" s="165" t="s">
        <v>358</v>
      </c>
      <c r="AA305" s="166"/>
    </row>
    <row r="306" spans="1:27" s="59" customFormat="1" ht="12">
      <c r="A306" s="208"/>
      <c r="P306" s="209"/>
      <c r="Z306" s="167" t="s">
        <v>1</v>
      </c>
      <c r="AA306" s="168" t="s">
        <v>359</v>
      </c>
    </row>
    <row r="307" spans="1:27" s="59" customFormat="1" ht="12">
      <c r="A307" s="208"/>
      <c r="P307" s="209"/>
      <c r="Z307" s="169" t="s">
        <v>336</v>
      </c>
      <c r="AA307" s="170">
        <v>2</v>
      </c>
    </row>
    <row r="308" spans="1:27" s="59" customFormat="1" ht="12">
      <c r="A308" s="208"/>
      <c r="P308" s="209"/>
      <c r="Z308" s="169" t="s">
        <v>258</v>
      </c>
      <c r="AA308" s="170">
        <v>1</v>
      </c>
    </row>
    <row r="309" spans="1:27" s="59" customFormat="1" ht="12">
      <c r="A309" s="208"/>
      <c r="P309" s="209"/>
      <c r="Z309" s="169" t="s">
        <v>246</v>
      </c>
      <c r="AA309" s="170">
        <v>1</v>
      </c>
    </row>
    <row r="310" spans="1:27" s="59" customFormat="1" ht="12">
      <c r="A310" s="208"/>
      <c r="P310" s="209"/>
      <c r="Z310" s="169" t="s">
        <v>283</v>
      </c>
      <c r="AA310" s="170">
        <v>1</v>
      </c>
    </row>
    <row r="311" spans="1:27" s="59" customFormat="1" ht="12">
      <c r="A311" s="208"/>
      <c r="P311" s="209"/>
      <c r="Z311" s="169" t="s">
        <v>310</v>
      </c>
      <c r="AA311" s="170">
        <v>2</v>
      </c>
    </row>
    <row r="312" spans="1:27" s="59" customFormat="1" ht="12">
      <c r="A312" s="208"/>
      <c r="P312" s="209"/>
      <c r="Z312" s="169" t="s">
        <v>172</v>
      </c>
      <c r="AA312" s="170">
        <v>2</v>
      </c>
    </row>
    <row r="313" spans="1:27" s="59" customFormat="1" ht="12">
      <c r="A313" s="208"/>
      <c r="P313" s="209"/>
      <c r="Z313" s="169" t="s">
        <v>315</v>
      </c>
      <c r="AA313" s="170">
        <v>1</v>
      </c>
    </row>
    <row r="314" spans="1:27" s="59" customFormat="1" ht="12">
      <c r="A314" s="208"/>
      <c r="P314" s="209"/>
      <c r="Z314" s="169" t="s">
        <v>221</v>
      </c>
      <c r="AA314" s="170">
        <v>2</v>
      </c>
    </row>
    <row r="315" spans="1:27" s="59" customFormat="1" ht="12">
      <c r="A315" s="208"/>
      <c r="P315" s="209"/>
      <c r="Z315" s="169" t="s">
        <v>237</v>
      </c>
      <c r="AA315" s="170">
        <v>1</v>
      </c>
    </row>
    <row r="316" spans="1:27" s="59" customFormat="1" ht="12">
      <c r="A316" s="208"/>
      <c r="P316" s="209"/>
      <c r="Z316" s="169" t="s">
        <v>360</v>
      </c>
      <c r="AA316" s="170">
        <v>1</v>
      </c>
    </row>
    <row r="317" spans="1:27" s="59" customFormat="1" ht="12">
      <c r="A317" s="208"/>
      <c r="P317" s="209"/>
      <c r="Z317" s="169" t="s">
        <v>276</v>
      </c>
      <c r="AA317" s="170">
        <v>1</v>
      </c>
    </row>
    <row r="318" spans="1:27" s="59" customFormat="1" ht="12">
      <c r="A318" s="208"/>
      <c r="P318" s="209"/>
      <c r="Z318" s="169" t="s">
        <v>347</v>
      </c>
      <c r="AA318" s="170">
        <v>2</v>
      </c>
    </row>
    <row r="319" spans="1:27" s="59" customFormat="1" ht="12">
      <c r="A319" s="208"/>
      <c r="P319" s="209"/>
      <c r="Z319" s="169" t="s">
        <v>202</v>
      </c>
      <c r="AA319" s="170">
        <v>2</v>
      </c>
    </row>
    <row r="320" spans="1:27" s="59" customFormat="1" ht="12">
      <c r="A320" s="208"/>
      <c r="P320" s="209"/>
      <c r="Z320" s="169" t="s">
        <v>160</v>
      </c>
      <c r="AA320" s="170">
        <v>2</v>
      </c>
    </row>
    <row r="321" spans="1:27" s="59" customFormat="1" ht="12">
      <c r="A321" s="208"/>
      <c r="P321" s="209"/>
      <c r="Z321" s="169" t="s">
        <v>361</v>
      </c>
      <c r="AA321" s="170">
        <v>2</v>
      </c>
    </row>
    <row r="322" spans="1:27" s="59" customFormat="1" ht="12">
      <c r="A322" s="208"/>
      <c r="P322" s="209"/>
      <c r="Z322" s="169" t="s">
        <v>186</v>
      </c>
      <c r="AA322" s="170">
        <v>2</v>
      </c>
    </row>
    <row r="323" spans="1:27" s="59" customFormat="1" ht="12">
      <c r="A323" s="208"/>
      <c r="P323" s="209"/>
      <c r="Z323" s="169" t="s">
        <v>230</v>
      </c>
      <c r="AA323" s="170">
        <v>1</v>
      </c>
    </row>
    <row r="324" spans="1:27" s="59" customFormat="1" ht="12">
      <c r="A324" s="208"/>
      <c r="P324" s="209"/>
      <c r="Z324" s="169" t="s">
        <v>318</v>
      </c>
      <c r="AA324" s="170">
        <v>2</v>
      </c>
    </row>
    <row r="325" spans="1:27" s="59" customFormat="1" ht="12">
      <c r="A325" s="208"/>
      <c r="P325" s="209"/>
      <c r="Z325" s="169" t="s">
        <v>212</v>
      </c>
      <c r="AA325" s="170">
        <v>1</v>
      </c>
    </row>
    <row r="326" spans="1:27" s="59" customFormat="1" ht="12">
      <c r="A326" s="208"/>
      <c r="P326" s="209"/>
      <c r="Z326" s="169" t="s">
        <v>149</v>
      </c>
      <c r="AA326" s="170">
        <v>1</v>
      </c>
    </row>
    <row r="327" spans="1:27" s="59" customFormat="1" ht="12">
      <c r="A327" s="208"/>
      <c r="P327" s="209"/>
      <c r="Z327" s="169" t="s">
        <v>353</v>
      </c>
      <c r="AA327" s="170">
        <v>1</v>
      </c>
    </row>
    <row r="328" spans="1:27" s="59" customFormat="1" ht="12">
      <c r="A328" s="208"/>
      <c r="P328" s="209"/>
      <c r="Z328" s="169" t="s">
        <v>297</v>
      </c>
      <c r="AA328" s="170">
        <v>1</v>
      </c>
    </row>
    <row r="329" spans="1:27" s="59" customFormat="1" ht="13.5">
      <c r="A329" s="208"/>
      <c r="P329" s="209"/>
      <c r="Z329" s="169" t="s">
        <v>321</v>
      </c>
      <c r="AA329" s="171">
        <v>1</v>
      </c>
    </row>
  </sheetData>
  <mergeCells count="561">
    <mergeCell ref="X120:X121"/>
    <mergeCell ref="X139:X140"/>
    <mergeCell ref="X21:X22"/>
    <mergeCell ref="X48:X49"/>
    <mergeCell ref="X54:X55"/>
    <mergeCell ref="X70:X71"/>
    <mergeCell ref="X81:X82"/>
    <mergeCell ref="X105:X106"/>
    <mergeCell ref="A168:B169"/>
    <mergeCell ref="L168:N169"/>
    <mergeCell ref="O168:Q169"/>
    <mergeCell ref="W21:W22"/>
    <mergeCell ref="W48:W49"/>
    <mergeCell ref="W54:W55"/>
    <mergeCell ref="W70:W71"/>
    <mergeCell ref="W120:W121"/>
    <mergeCell ref="W139:W140"/>
    <mergeCell ref="W81:W82"/>
    <mergeCell ref="W105:W106"/>
    <mergeCell ref="U120:U121"/>
    <mergeCell ref="U139:U140"/>
    <mergeCell ref="V81:V82"/>
    <mergeCell ref="V105:V106"/>
    <mergeCell ref="V120:V121"/>
    <mergeCell ref="V70:V71"/>
    <mergeCell ref="S120:S121"/>
    <mergeCell ref="S139:S140"/>
    <mergeCell ref="T21:T22"/>
    <mergeCell ref="T48:T49"/>
    <mergeCell ref="T54:T55"/>
    <mergeCell ref="T70:T71"/>
    <mergeCell ref="T81:T82"/>
    <mergeCell ref="T105:T106"/>
    <mergeCell ref="T120:T121"/>
    <mergeCell ref="V139:V140"/>
    <mergeCell ref="U81:U82"/>
    <mergeCell ref="U105:U106"/>
    <mergeCell ref="U21:U22"/>
    <mergeCell ref="U48:U49"/>
    <mergeCell ref="U54:U55"/>
    <mergeCell ref="U70:U71"/>
    <mergeCell ref="V21:V22"/>
    <mergeCell ref="V48:V49"/>
    <mergeCell ref="V54:V55"/>
    <mergeCell ref="S81:S82"/>
    <mergeCell ref="S105:S106"/>
    <mergeCell ref="S21:S22"/>
    <mergeCell ref="S48:S49"/>
    <mergeCell ref="S54:S55"/>
    <mergeCell ref="T139:T140"/>
    <mergeCell ref="Q120:Q121"/>
    <mergeCell ref="Q139:Q140"/>
    <mergeCell ref="R81:R82"/>
    <mergeCell ref="R105:R106"/>
    <mergeCell ref="R120:R121"/>
    <mergeCell ref="R139:R140"/>
    <mergeCell ref="Q81:Q82"/>
    <mergeCell ref="Q105:Q106"/>
    <mergeCell ref="A119:Q119"/>
    <mergeCell ref="S70:S71"/>
    <mergeCell ref="A136:B136"/>
    <mergeCell ref="C136:I136"/>
    <mergeCell ref="A131:B131"/>
    <mergeCell ref="C131:I131"/>
    <mergeCell ref="A132:B132"/>
    <mergeCell ref="C132:I132"/>
    <mergeCell ref="A133:B133"/>
    <mergeCell ref="C133:I133"/>
    <mergeCell ref="A134:B134"/>
    <mergeCell ref="C134:I134"/>
    <mergeCell ref="A135:B135"/>
    <mergeCell ref="C135:I135"/>
    <mergeCell ref="Q21:Q22"/>
    <mergeCell ref="Q48:Q49"/>
    <mergeCell ref="Q54:Q55"/>
    <mergeCell ref="Q70:Q71"/>
    <mergeCell ref="A52:Q52"/>
    <mergeCell ref="A53:Q53"/>
    <mergeCell ref="K54:N54"/>
    <mergeCell ref="A56:B56"/>
    <mergeCell ref="C56:I56"/>
    <mergeCell ref="C67:I67"/>
    <mergeCell ref="A68:B68"/>
    <mergeCell ref="C68:I68"/>
    <mergeCell ref="C57:I57"/>
    <mergeCell ref="J54:J55"/>
    <mergeCell ref="C54:I55"/>
    <mergeCell ref="A54:B55"/>
    <mergeCell ref="A63:B63"/>
    <mergeCell ref="C63:I63"/>
    <mergeCell ref="A58:B58"/>
    <mergeCell ref="C58:I58"/>
    <mergeCell ref="A59:B59"/>
    <mergeCell ref="C59:I59"/>
    <mergeCell ref="A60:B60"/>
    <mergeCell ref="C60:I60"/>
    <mergeCell ref="R21:R22"/>
    <mergeCell ref="R48:R49"/>
    <mergeCell ref="R54:R55"/>
    <mergeCell ref="R70:R71"/>
    <mergeCell ref="O21:O22"/>
    <mergeCell ref="O48:O49"/>
    <mergeCell ref="O54:O55"/>
    <mergeCell ref="O70:O71"/>
    <mergeCell ref="A69:Q69"/>
    <mergeCell ref="K70:N70"/>
    <mergeCell ref="J70:J71"/>
    <mergeCell ref="C70:I71"/>
    <mergeCell ref="A70:B71"/>
    <mergeCell ref="A57:B57"/>
    <mergeCell ref="P21:P22"/>
    <mergeCell ref="P48:P49"/>
    <mergeCell ref="P54:P55"/>
    <mergeCell ref="P70:P71"/>
    <mergeCell ref="C64:I64"/>
    <mergeCell ref="A65:B65"/>
    <mergeCell ref="C65:I65"/>
    <mergeCell ref="A66:B66"/>
    <mergeCell ref="C66:I66"/>
    <mergeCell ref="A67:B67"/>
    <mergeCell ref="A64:B64"/>
    <mergeCell ref="O81:O82"/>
    <mergeCell ref="O105:O106"/>
    <mergeCell ref="P188:Q188"/>
    <mergeCell ref="P187:Q187"/>
    <mergeCell ref="P186:Q186"/>
    <mergeCell ref="P185:Q185"/>
    <mergeCell ref="P139:P140"/>
    <mergeCell ref="O120:O121"/>
    <mergeCell ref="O139:O140"/>
    <mergeCell ref="P81:P82"/>
    <mergeCell ref="P105:P106"/>
    <mergeCell ref="P120:P121"/>
    <mergeCell ref="A113:B113"/>
    <mergeCell ref="P183:Q183"/>
    <mergeCell ref="F183:G183"/>
    <mergeCell ref="L183:M183"/>
    <mergeCell ref="A186:C186"/>
    <mergeCell ref="D186:E186"/>
    <mergeCell ref="F186:G186"/>
    <mergeCell ref="H186:I186"/>
    <mergeCell ref="J186:K186"/>
    <mergeCell ref="A189:C189"/>
    <mergeCell ref="D189:E189"/>
    <mergeCell ref="N189:O189"/>
    <mergeCell ref="P189:Q189"/>
    <mergeCell ref="A188:C188"/>
    <mergeCell ref="D188:E188"/>
    <mergeCell ref="F188:G188"/>
    <mergeCell ref="A187:C187"/>
    <mergeCell ref="D187:E187"/>
    <mergeCell ref="F187:G187"/>
    <mergeCell ref="H187:I187"/>
    <mergeCell ref="J187:K187"/>
    <mergeCell ref="L187:M187"/>
    <mergeCell ref="N188:O188"/>
    <mergeCell ref="T188:U188"/>
    <mergeCell ref="R188:S188"/>
    <mergeCell ref="R187:S187"/>
    <mergeCell ref="N187:O187"/>
    <mergeCell ref="T187:U187"/>
    <mergeCell ref="R185:S185"/>
    <mergeCell ref="L186:M186"/>
    <mergeCell ref="N186:O186"/>
    <mergeCell ref="H188:I188"/>
    <mergeCell ref="J188:K188"/>
    <mergeCell ref="L188:M188"/>
    <mergeCell ref="AW181:BM181"/>
    <mergeCell ref="T184:U184"/>
    <mergeCell ref="H183:I183"/>
    <mergeCell ref="J183:K183"/>
    <mergeCell ref="P184:Q184"/>
    <mergeCell ref="R184:S184"/>
    <mergeCell ref="T185:U185"/>
    <mergeCell ref="T186:U186"/>
    <mergeCell ref="R186:S186"/>
    <mergeCell ref="A185:C185"/>
    <mergeCell ref="D185:E185"/>
    <mergeCell ref="F185:G185"/>
    <mergeCell ref="H185:I185"/>
    <mergeCell ref="J185:K185"/>
    <mergeCell ref="A184:C184"/>
    <mergeCell ref="D184:E184"/>
    <mergeCell ref="N184:O184"/>
    <mergeCell ref="D183:E183"/>
    <mergeCell ref="F184:G184"/>
    <mergeCell ref="H184:I184"/>
    <mergeCell ref="J184:K184"/>
    <mergeCell ref="L184:M184"/>
    <mergeCell ref="N183:O183"/>
    <mergeCell ref="L185:M185"/>
    <mergeCell ref="N185:O185"/>
    <mergeCell ref="A180:B180"/>
    <mergeCell ref="C180:E180"/>
    <mergeCell ref="F180:H180"/>
    <mergeCell ref="I180:K180"/>
    <mergeCell ref="L180:N180"/>
    <mergeCell ref="O180:Q180"/>
    <mergeCell ref="HK181:IA181"/>
    <mergeCell ref="IB181:IR181"/>
    <mergeCell ref="D182:Q182"/>
    <mergeCell ref="R182:U182"/>
    <mergeCell ref="DM181:EC181"/>
    <mergeCell ref="ED181:ET181"/>
    <mergeCell ref="EU181:FK181"/>
    <mergeCell ref="FL181:GB181"/>
    <mergeCell ref="CE181:CU181"/>
    <mergeCell ref="CV181:DL181"/>
    <mergeCell ref="GC181:GS181"/>
    <mergeCell ref="BN181:CD181"/>
    <mergeCell ref="A181:Q181"/>
    <mergeCell ref="AF181:AV181"/>
    <mergeCell ref="A182:C183"/>
    <mergeCell ref="GT181:HJ181"/>
    <mergeCell ref="R183:S183"/>
    <mergeCell ref="T183:U183"/>
    <mergeCell ref="R178:U178"/>
    <mergeCell ref="A179:B179"/>
    <mergeCell ref="C179:E179"/>
    <mergeCell ref="F179:H179"/>
    <mergeCell ref="I179:K179"/>
    <mergeCell ref="L179:N179"/>
    <mergeCell ref="O179:Q179"/>
    <mergeCell ref="A178:B178"/>
    <mergeCell ref="C178:E178"/>
    <mergeCell ref="F178:H178"/>
    <mergeCell ref="I178:K178"/>
    <mergeCell ref="L178:N178"/>
    <mergeCell ref="O178:Q178"/>
    <mergeCell ref="A177:B177"/>
    <mergeCell ref="C177:E177"/>
    <mergeCell ref="F177:H177"/>
    <mergeCell ref="I177:K177"/>
    <mergeCell ref="L177:N177"/>
    <mergeCell ref="O177:Q177"/>
    <mergeCell ref="L176:N176"/>
    <mergeCell ref="O176:Q176"/>
    <mergeCell ref="A175:B175"/>
    <mergeCell ref="C175:E175"/>
    <mergeCell ref="F175:H175"/>
    <mergeCell ref="I175:K175"/>
    <mergeCell ref="L175:N175"/>
    <mergeCell ref="O175:Q175"/>
    <mergeCell ref="A176:B176"/>
    <mergeCell ref="C176:E176"/>
    <mergeCell ref="F176:H176"/>
    <mergeCell ref="I176:K176"/>
    <mergeCell ref="L174:N174"/>
    <mergeCell ref="O174:Q174"/>
    <mergeCell ref="A173:B173"/>
    <mergeCell ref="C173:E173"/>
    <mergeCell ref="F173:H173"/>
    <mergeCell ref="I173:K173"/>
    <mergeCell ref="L173:N173"/>
    <mergeCell ref="O173:Q173"/>
    <mergeCell ref="A174:B174"/>
    <mergeCell ref="C174:E174"/>
    <mergeCell ref="F174:H174"/>
    <mergeCell ref="I174:K174"/>
    <mergeCell ref="L172:N172"/>
    <mergeCell ref="O172:Q172"/>
    <mergeCell ref="A171:B171"/>
    <mergeCell ref="C171:E171"/>
    <mergeCell ref="F171:H171"/>
    <mergeCell ref="I171:K171"/>
    <mergeCell ref="L171:N171"/>
    <mergeCell ref="O171:Q171"/>
    <mergeCell ref="A172:B172"/>
    <mergeCell ref="C172:E172"/>
    <mergeCell ref="F172:H172"/>
    <mergeCell ref="I172:K172"/>
    <mergeCell ref="L170:N170"/>
    <mergeCell ref="O170:Q170"/>
    <mergeCell ref="GC167:GS167"/>
    <mergeCell ref="GT167:HJ167"/>
    <mergeCell ref="EU167:FK167"/>
    <mergeCell ref="FL167:GB167"/>
    <mergeCell ref="AW167:BM167"/>
    <mergeCell ref="BN167:CD167"/>
    <mergeCell ref="A170:B170"/>
    <mergeCell ref="C170:E170"/>
    <mergeCell ref="F170:H170"/>
    <mergeCell ref="I170:K170"/>
    <mergeCell ref="IB167:IR167"/>
    <mergeCell ref="C168:K168"/>
    <mergeCell ref="C169:E169"/>
    <mergeCell ref="F169:H169"/>
    <mergeCell ref="I169:K169"/>
    <mergeCell ref="CE167:CU167"/>
    <mergeCell ref="CV167:DL167"/>
    <mergeCell ref="DM167:EC167"/>
    <mergeCell ref="ED167:ET167"/>
    <mergeCell ref="A164:B164"/>
    <mergeCell ref="C164:I164"/>
    <mergeCell ref="A166:B166"/>
    <mergeCell ref="C166:I166"/>
    <mergeCell ref="A167:Q167"/>
    <mergeCell ref="AF167:AV167"/>
    <mergeCell ref="A165:B165"/>
    <mergeCell ref="C165:I165"/>
    <mergeCell ref="HK167:IA167"/>
    <mergeCell ref="A159:B159"/>
    <mergeCell ref="C159:I159"/>
    <mergeCell ref="A154:B154"/>
    <mergeCell ref="C154:I154"/>
    <mergeCell ref="A155:B155"/>
    <mergeCell ref="C155:I155"/>
    <mergeCell ref="A163:B163"/>
    <mergeCell ref="C163:I163"/>
    <mergeCell ref="A156:B156"/>
    <mergeCell ref="C156:I156"/>
    <mergeCell ref="A157:B157"/>
    <mergeCell ref="C157:I157"/>
    <mergeCell ref="A158:B158"/>
    <mergeCell ref="C158:I158"/>
    <mergeCell ref="A160:B160"/>
    <mergeCell ref="C160:I160"/>
    <mergeCell ref="A161:B161"/>
    <mergeCell ref="C161:I161"/>
    <mergeCell ref="A162:B162"/>
    <mergeCell ref="C162:I162"/>
    <mergeCell ref="A153:B153"/>
    <mergeCell ref="C153:I153"/>
    <mergeCell ref="A148:B148"/>
    <mergeCell ref="C148:I148"/>
    <mergeCell ref="A149:B149"/>
    <mergeCell ref="C149:I149"/>
    <mergeCell ref="A150:B150"/>
    <mergeCell ref="C150:I150"/>
    <mergeCell ref="A151:B151"/>
    <mergeCell ref="C151:I151"/>
    <mergeCell ref="A152:B152"/>
    <mergeCell ref="C152:I152"/>
    <mergeCell ref="A147:B147"/>
    <mergeCell ref="C147:I147"/>
    <mergeCell ref="A142:B142"/>
    <mergeCell ref="C142:I142"/>
    <mergeCell ref="A143:B143"/>
    <mergeCell ref="C143:I143"/>
    <mergeCell ref="A144:B144"/>
    <mergeCell ref="C144:I144"/>
    <mergeCell ref="A145:B145"/>
    <mergeCell ref="C145:I145"/>
    <mergeCell ref="A146:B146"/>
    <mergeCell ref="C146:I146"/>
    <mergeCell ref="A141:B141"/>
    <mergeCell ref="C141:I141"/>
    <mergeCell ref="J139:J140"/>
    <mergeCell ref="C139:I140"/>
    <mergeCell ref="A139:B140"/>
    <mergeCell ref="A137:B137"/>
    <mergeCell ref="C137:I137"/>
    <mergeCell ref="A138:Q138"/>
    <mergeCell ref="K139:N139"/>
    <mergeCell ref="A116:B116"/>
    <mergeCell ref="C116:I116"/>
    <mergeCell ref="A130:B130"/>
    <mergeCell ref="C130:I130"/>
    <mergeCell ref="A125:B125"/>
    <mergeCell ref="C125:I125"/>
    <mergeCell ref="A126:B126"/>
    <mergeCell ref="C126:I126"/>
    <mergeCell ref="A127:B127"/>
    <mergeCell ref="C127:I127"/>
    <mergeCell ref="A128:B128"/>
    <mergeCell ref="C128:I128"/>
    <mergeCell ref="A129:B129"/>
    <mergeCell ref="C129:I129"/>
    <mergeCell ref="A124:B124"/>
    <mergeCell ref="C124:I124"/>
    <mergeCell ref="J120:J121"/>
    <mergeCell ref="A120:B121"/>
    <mergeCell ref="C120:I121"/>
    <mergeCell ref="A117:B117"/>
    <mergeCell ref="K120:N120"/>
    <mergeCell ref="A122:B122"/>
    <mergeCell ref="C122:I122"/>
    <mergeCell ref="A123:B123"/>
    <mergeCell ref="C123:I123"/>
    <mergeCell ref="A118:Q118"/>
    <mergeCell ref="C117:I117"/>
    <mergeCell ref="A109:B109"/>
    <mergeCell ref="A99:B99"/>
    <mergeCell ref="C99:I99"/>
    <mergeCell ref="A100:B100"/>
    <mergeCell ref="C100:I100"/>
    <mergeCell ref="A104:Q104"/>
    <mergeCell ref="A114:B114"/>
    <mergeCell ref="C114:I114"/>
    <mergeCell ref="A115:B115"/>
    <mergeCell ref="K105:N105"/>
    <mergeCell ref="J105:J106"/>
    <mergeCell ref="C102:I102"/>
    <mergeCell ref="A103:B103"/>
    <mergeCell ref="C103:I103"/>
    <mergeCell ref="A112:B112"/>
    <mergeCell ref="C112:I112"/>
    <mergeCell ref="C109:I109"/>
    <mergeCell ref="A110:B110"/>
    <mergeCell ref="C110:I110"/>
    <mergeCell ref="A111:B111"/>
    <mergeCell ref="C111:I111"/>
    <mergeCell ref="C113:I113"/>
    <mergeCell ref="C115:I115"/>
    <mergeCell ref="A94:B94"/>
    <mergeCell ref="C94:I94"/>
    <mergeCell ref="A101:B101"/>
    <mergeCell ref="C101:I101"/>
    <mergeCell ref="A96:B96"/>
    <mergeCell ref="A107:B107"/>
    <mergeCell ref="C107:I107"/>
    <mergeCell ref="A108:B108"/>
    <mergeCell ref="C108:I108"/>
    <mergeCell ref="C96:I96"/>
    <mergeCell ref="A97:B97"/>
    <mergeCell ref="C97:I97"/>
    <mergeCell ref="A98:B98"/>
    <mergeCell ref="C98:I98"/>
    <mergeCell ref="A95:B95"/>
    <mergeCell ref="C95:I95"/>
    <mergeCell ref="C105:I106"/>
    <mergeCell ref="A105:B106"/>
    <mergeCell ref="A102:B102"/>
    <mergeCell ref="A89:B89"/>
    <mergeCell ref="C89:I89"/>
    <mergeCell ref="A84:B84"/>
    <mergeCell ref="C84:I84"/>
    <mergeCell ref="A85:B85"/>
    <mergeCell ref="C85:I85"/>
    <mergeCell ref="A93:B93"/>
    <mergeCell ref="C93:I93"/>
    <mergeCell ref="A86:B86"/>
    <mergeCell ref="C86:I86"/>
    <mergeCell ref="A87:B87"/>
    <mergeCell ref="C87:I87"/>
    <mergeCell ref="A88:B88"/>
    <mergeCell ref="C88:I88"/>
    <mergeCell ref="A90:B90"/>
    <mergeCell ref="C90:I90"/>
    <mergeCell ref="A91:B91"/>
    <mergeCell ref="C91:I91"/>
    <mergeCell ref="A92:B92"/>
    <mergeCell ref="C92:I92"/>
    <mergeCell ref="K81:N81"/>
    <mergeCell ref="A83:B83"/>
    <mergeCell ref="C83:I83"/>
    <mergeCell ref="J81:J82"/>
    <mergeCell ref="C81:I82"/>
    <mergeCell ref="A81:B82"/>
    <mergeCell ref="A78:B78"/>
    <mergeCell ref="C78:I78"/>
    <mergeCell ref="A79:Q79"/>
    <mergeCell ref="A80:Q80"/>
    <mergeCell ref="A77:B77"/>
    <mergeCell ref="C77:I77"/>
    <mergeCell ref="A72:B72"/>
    <mergeCell ref="C72:I72"/>
    <mergeCell ref="A73:B73"/>
    <mergeCell ref="C73:I73"/>
    <mergeCell ref="A74:B74"/>
    <mergeCell ref="C74:I74"/>
    <mergeCell ref="A75:B75"/>
    <mergeCell ref="C75:I75"/>
    <mergeCell ref="A76:B76"/>
    <mergeCell ref="C76:I76"/>
    <mergeCell ref="A61:B61"/>
    <mergeCell ref="C61:I61"/>
    <mergeCell ref="A62:B62"/>
    <mergeCell ref="C62:I62"/>
    <mergeCell ref="A51:B51"/>
    <mergeCell ref="C51:I51"/>
    <mergeCell ref="J48:J49"/>
    <mergeCell ref="C48:I49"/>
    <mergeCell ref="A48:B49"/>
    <mergeCell ref="A47:Q47"/>
    <mergeCell ref="K48:N48"/>
    <mergeCell ref="A50:B50"/>
    <mergeCell ref="C50:I50"/>
    <mergeCell ref="A46:B46"/>
    <mergeCell ref="C46:I46"/>
    <mergeCell ref="A38:B38"/>
    <mergeCell ref="C38:I38"/>
    <mergeCell ref="A39:B39"/>
    <mergeCell ref="C39:I39"/>
    <mergeCell ref="A40:B40"/>
    <mergeCell ref="C40:I40"/>
    <mergeCell ref="A41:B41"/>
    <mergeCell ref="C41:I41"/>
    <mergeCell ref="A42:B42"/>
    <mergeCell ref="C42:I42"/>
    <mergeCell ref="C45:I45"/>
    <mergeCell ref="C43:I43"/>
    <mergeCell ref="C44:I44"/>
    <mergeCell ref="A37:B37"/>
    <mergeCell ref="C37:I37"/>
    <mergeCell ref="A32:B32"/>
    <mergeCell ref="C32:I32"/>
    <mergeCell ref="A33:B33"/>
    <mergeCell ref="C33:I33"/>
    <mergeCell ref="A34:B34"/>
    <mergeCell ref="C34:I34"/>
    <mergeCell ref="A35:B35"/>
    <mergeCell ref="C35:I35"/>
    <mergeCell ref="A36:B36"/>
    <mergeCell ref="C36:I36"/>
    <mergeCell ref="A31:B31"/>
    <mergeCell ref="C31:I31"/>
    <mergeCell ref="A26:B26"/>
    <mergeCell ref="C26:I26"/>
    <mergeCell ref="A27:B27"/>
    <mergeCell ref="C27:I27"/>
    <mergeCell ref="A28:B28"/>
    <mergeCell ref="C28:I28"/>
    <mergeCell ref="A29:B29"/>
    <mergeCell ref="C29:I29"/>
    <mergeCell ref="A30:B30"/>
    <mergeCell ref="C30:I30"/>
    <mergeCell ref="A25:B25"/>
    <mergeCell ref="C25:I25"/>
    <mergeCell ref="J21:J22"/>
    <mergeCell ref="C21:I22"/>
    <mergeCell ref="A21:B22"/>
    <mergeCell ref="K21:N21"/>
    <mergeCell ref="A23:B23"/>
    <mergeCell ref="C23:I23"/>
    <mergeCell ref="A24:B24"/>
    <mergeCell ref="C24:I24"/>
    <mergeCell ref="A19:Q19"/>
    <mergeCell ref="A20:Q20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8:Q8"/>
    <mergeCell ref="R1:S1"/>
    <mergeCell ref="V1:W1"/>
    <mergeCell ref="A2:B2"/>
    <mergeCell ref="D2:E2"/>
    <mergeCell ref="F2:H2"/>
    <mergeCell ref="I2:K2"/>
    <mergeCell ref="M2:N2"/>
    <mergeCell ref="O2:Q2"/>
    <mergeCell ref="A3:Q3"/>
    <mergeCell ref="A4:Q4"/>
    <mergeCell ref="A5:Q5"/>
    <mergeCell ref="A6:Q6"/>
    <mergeCell ref="R2:S2"/>
    <mergeCell ref="V2:W2"/>
    <mergeCell ref="A1:B1"/>
    <mergeCell ref="C1:F1"/>
    <mergeCell ref="G1:H1"/>
    <mergeCell ref="I1:L1"/>
    <mergeCell ref="M1:N1"/>
    <mergeCell ref="O1:Q1"/>
    <mergeCell ref="A7:Q7"/>
  </mergeCells>
  <phoneticPr fontId="10" type="noConversion"/>
  <dataValidations count="1">
    <dataValidation type="list" allowBlank="1" showInputMessage="1" showErrorMessage="1" sqref="O2:Q2">
      <formula1>$Z$213:$Z$300</formula1>
    </dataValidation>
  </dataValidations>
  <printOptions horizontalCentered="1"/>
  <pageMargins left="1.18" right="1.18" top="0.98" bottom="0.79" header="0.31" footer="0.3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65"/>
  <sheetViews>
    <sheetView workbookViewId="0">
      <selection activeCell="J190" sqref="J190:J194"/>
    </sheetView>
  </sheetViews>
  <sheetFormatPr defaultRowHeight="11.25"/>
  <cols>
    <col min="1" max="1" width="3.625" style="29" customWidth="1"/>
    <col min="2" max="2" width="3.625" style="30" customWidth="1"/>
    <col min="3" max="15" width="4.125" style="30" customWidth="1"/>
    <col min="16" max="16" width="4.125" style="31" customWidth="1"/>
    <col min="17" max="17" width="4.125" style="30" customWidth="1"/>
    <col min="18" max="23" width="6.625" style="30" customWidth="1"/>
    <col min="24" max="24" width="11.125" style="30" customWidth="1"/>
    <col min="25" max="25" width="14.125" style="32" hidden="1" customWidth="1"/>
    <col min="26" max="26" width="20.25" style="32" hidden="1" customWidth="1"/>
    <col min="27" max="27" width="9" style="32" hidden="1" customWidth="1"/>
    <col min="28" max="30" width="9" style="30" hidden="1" customWidth="1"/>
    <col min="31" max="16384" width="9" style="30"/>
  </cols>
  <sheetData>
    <row r="1" spans="1:27" ht="30" customHeight="1">
      <c r="A1" s="242" t="s">
        <v>0</v>
      </c>
      <c r="B1" s="242"/>
      <c r="C1" s="253" t="str">
        <f>IF(ISERROR(LOOKUP(O2,Y227:Y238,Z227:Z238)),"",LOOKUP(O2,Y227:Y238,Z227:Z238))</f>
        <v>思想政治教育（师范）</v>
      </c>
      <c r="D1" s="254"/>
      <c r="E1" s="254"/>
      <c r="F1" s="255"/>
      <c r="G1" s="242" t="s">
        <v>1</v>
      </c>
      <c r="H1" s="242"/>
      <c r="I1" s="253" t="str">
        <f>IF(ISERROR(LOOKUP(O2,Y227:Y238,AA227:AA238)),"",LOOKUP(O2,Y227:Y238,AA227:AA238))</f>
        <v>马克思主义学院</v>
      </c>
      <c r="J1" s="254"/>
      <c r="K1" s="254"/>
      <c r="L1" s="255"/>
      <c r="M1" s="247" t="s">
        <v>2</v>
      </c>
      <c r="N1" s="247"/>
      <c r="O1" s="247" t="str">
        <f>IF(ISERROR(LOOKUP(O2,Y227:Y238,AC227:AC238)),"",LOOKUP(O2,Y227:Y238,AC227:AC238))</f>
        <v>文科</v>
      </c>
      <c r="P1" s="247"/>
      <c r="Q1" s="247"/>
      <c r="R1" s="355" t="s">
        <v>3</v>
      </c>
      <c r="S1" s="355"/>
      <c r="T1" s="57"/>
      <c r="U1" s="56" t="s">
        <v>5</v>
      </c>
      <c r="V1" s="356"/>
      <c r="W1" s="356"/>
    </row>
    <row r="2" spans="1:27" ht="30" customHeight="1">
      <c r="A2" s="242" t="s">
        <v>6</v>
      </c>
      <c r="B2" s="242"/>
      <c r="C2" s="33" t="str">
        <f>IF(ISERROR(LOOKUP(O2,Y227:Y238,AB227:AB238)),"",LOOKUP(O2,Y227:Y238,AB227:AB238))</f>
        <v>4</v>
      </c>
      <c r="D2" s="243" t="s">
        <v>7</v>
      </c>
      <c r="E2" s="243"/>
      <c r="F2" s="244" t="str">
        <f>IF(ISERROR(LOOKUP(O2,Y227:Y238,AD227:AD238)),"",LOOKUP(O2,Y227:Y238,AD227:AD238))</f>
        <v>法学</v>
      </c>
      <c r="G2" s="245"/>
      <c r="H2" s="246"/>
      <c r="I2" s="247" t="s">
        <v>8</v>
      </c>
      <c r="J2" s="247"/>
      <c r="K2" s="247"/>
      <c r="L2" s="41">
        <f>IF(ISERROR(LOOKUP(I1,Y243:Y265,Z243:Z265)),"",LOOKUP(I1,Y243:Y265,Z243:Z265))</f>
        <v>2</v>
      </c>
      <c r="M2" s="247" t="s">
        <v>9</v>
      </c>
      <c r="N2" s="247"/>
      <c r="O2" s="357" t="s">
        <v>362</v>
      </c>
      <c r="P2" s="357"/>
      <c r="Q2" s="357"/>
      <c r="R2" s="355" t="s">
        <v>11</v>
      </c>
      <c r="S2" s="355"/>
      <c r="T2" s="57"/>
      <c r="U2" s="56" t="s">
        <v>5</v>
      </c>
      <c r="V2" s="356"/>
      <c r="W2" s="356"/>
    </row>
    <row r="3" spans="1:27" ht="55.5" customHeight="1">
      <c r="A3" s="249" t="str">
        <f>IF(C1="","×××专业人才培养方案",C1&amp;"专业人才培养方案")</f>
        <v>思想政治教育（师范）专业人才培养方案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27" s="26" customFormat="1" ht="21.95" customHeight="1">
      <c r="A4" s="358" t="s">
        <v>13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Y4" s="93"/>
      <c r="Z4" s="93"/>
      <c r="AA4" s="93"/>
    </row>
    <row r="5" spans="1:27" ht="49.5" customHeight="1">
      <c r="A5" s="251" t="s">
        <v>363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27" s="26" customFormat="1" ht="21.95" customHeight="1">
      <c r="A6" s="358" t="s">
        <v>15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Y6" s="93"/>
      <c r="Z6" s="93"/>
      <c r="AA6" s="93"/>
    </row>
    <row r="7" spans="1:27" s="27" customFormat="1" ht="211.5" customHeight="1">
      <c r="A7" s="251" t="s">
        <v>364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Y7" s="94"/>
      <c r="Z7" s="94"/>
      <c r="AA7" s="94"/>
    </row>
    <row r="8" spans="1:27" s="26" customFormat="1" ht="21.95" customHeight="1">
      <c r="A8" s="358" t="s">
        <v>17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Y8" s="93"/>
      <c r="Z8" s="93"/>
      <c r="AA8" s="93"/>
    </row>
    <row r="9" spans="1:27" ht="21" customHeight="1">
      <c r="A9" s="251" t="s">
        <v>365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27" s="26" customFormat="1" ht="21.75" customHeight="1">
      <c r="A10" s="358" t="s">
        <v>19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Y10" s="93"/>
      <c r="Z10" s="93"/>
      <c r="AA10" s="93"/>
    </row>
    <row r="11" spans="1:27" ht="33" customHeight="1">
      <c r="A11" s="257" t="str">
        <f>IF(C2="","","    学制为"&amp;C2&amp;"年，最长修业年限为"&amp;IF(C2="4",8,9)&amp;"年。")</f>
        <v xml:space="preserve">    学制为4年，最长修业年限为8年。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30" t="str">
        <f>IF(C2=4,8,IF(C2=5,9,""))</f>
        <v/>
      </c>
    </row>
    <row r="12" spans="1:27" s="26" customFormat="1" ht="21.75" customHeight="1">
      <c r="A12" s="358" t="s">
        <v>20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Y12" s="93"/>
      <c r="Z12" s="93"/>
      <c r="AA12" s="93"/>
    </row>
    <row r="13" spans="1:27" ht="67.5" customHeight="1">
      <c r="A13" s="257" t="str">
        <f>IF(C1="","","    在修业年限内，学生修满本专业教学计划规定的"&amp;D217&amp;"学分，其中通识教育课程平台"&amp;D212&amp;"学分、综合素质培养课程平台"&amp;D213&amp;"学分、学科基础课程平台"&amp;D214&amp;"学分、教师教育课程平台"&amp;D215&amp;"学分、专业教育课程平台"&amp;D216&amp;"学分方可申请毕业符合学位授予要求者经申请可授予"&amp;F2&amp;"学士学位。")</f>
        <v xml:space="preserve">    在修业年限内，学生修满本专业教学计划规定的227学分，其中通识教育课程平台28学分、综合素质培养课程平台14学分、学科基础课程平台96学分、教师教育课程平台35学分、专业教育课程平台54学分方可申请毕业符合学位授予要求者经申请可授予法学学士学位。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</row>
    <row r="14" spans="1:27" s="26" customFormat="1" ht="21.75" customHeight="1">
      <c r="A14" s="358" t="s">
        <v>21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Y14" s="93"/>
      <c r="Z14" s="93"/>
      <c r="AA14" s="93"/>
    </row>
    <row r="15" spans="1:27" ht="39.75" customHeight="1">
      <c r="A15" s="251" t="s">
        <v>366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27" s="26" customFormat="1" ht="21.75" customHeight="1">
      <c r="A16" s="358" t="s">
        <v>23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Y16" s="93"/>
      <c r="Z16" s="93"/>
      <c r="AA16" s="93"/>
    </row>
    <row r="17" spans="1:27" ht="58.5" customHeight="1">
      <c r="A17" s="251" t="s">
        <v>367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30" t="s">
        <v>25</v>
      </c>
    </row>
    <row r="18" spans="1:27" s="26" customFormat="1" ht="21.95" customHeight="1">
      <c r="A18" s="239" t="s">
        <v>26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58"/>
      <c r="S18" s="58"/>
      <c r="T18" s="58"/>
      <c r="U18" s="58"/>
      <c r="V18" s="58"/>
      <c r="W18" s="58"/>
      <c r="X18" s="58"/>
      <c r="Y18" s="93"/>
      <c r="Z18" s="93"/>
      <c r="AA18" s="93"/>
    </row>
    <row r="19" spans="1:27" ht="21.95" customHeight="1">
      <c r="A19" s="359" t="str">
        <f>"    （一）通识教育课程平台（"&amp;J40+J46+SUMIF(R50:R50,"&gt;0",J50:J50)+6&amp;"学分）"</f>
        <v xml:space="preserve">    （一）通识教育课程平台（28学分）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58"/>
      <c r="S19" s="58"/>
      <c r="T19" s="58"/>
      <c r="U19" s="58"/>
      <c r="V19" s="58"/>
      <c r="W19" s="58"/>
      <c r="X19" s="59"/>
    </row>
    <row r="20" spans="1:27" ht="21.95" customHeight="1">
      <c r="A20" s="359" t="str">
        <f>"    1.必修课（"&amp;J40+J46&amp;"）学分"</f>
        <v xml:space="preserve">    1.必修课（22）学分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60"/>
      <c r="S20" s="60"/>
      <c r="T20" s="60"/>
      <c r="U20" s="60"/>
      <c r="V20" s="60"/>
      <c r="W20" s="60"/>
      <c r="X20" s="59"/>
    </row>
    <row r="21" spans="1:27" ht="18.75" customHeight="1">
      <c r="A21" s="261" t="s">
        <v>27</v>
      </c>
      <c r="B21" s="261"/>
      <c r="C21" s="261" t="s">
        <v>28</v>
      </c>
      <c r="D21" s="261"/>
      <c r="E21" s="261"/>
      <c r="F21" s="261"/>
      <c r="G21" s="261"/>
      <c r="H21" s="261"/>
      <c r="I21" s="261"/>
      <c r="J21" s="261" t="s">
        <v>29</v>
      </c>
      <c r="K21" s="262" t="s">
        <v>30</v>
      </c>
      <c r="L21" s="262"/>
      <c r="M21" s="262"/>
      <c r="N21" s="262"/>
      <c r="O21" s="261" t="s">
        <v>31</v>
      </c>
      <c r="P21" s="342" t="s">
        <v>32</v>
      </c>
      <c r="Q21" s="261" t="s">
        <v>33</v>
      </c>
      <c r="R21" s="346" t="s">
        <v>34</v>
      </c>
      <c r="S21" s="348" t="s">
        <v>35</v>
      </c>
      <c r="T21" s="348" t="s">
        <v>36</v>
      </c>
      <c r="U21" s="348" t="s">
        <v>37</v>
      </c>
      <c r="V21" s="348" t="s">
        <v>38</v>
      </c>
      <c r="W21" s="348" t="s">
        <v>39</v>
      </c>
      <c r="X21" s="348" t="s">
        <v>40</v>
      </c>
    </row>
    <row r="22" spans="1:27" ht="30" customHeigh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34" t="s">
        <v>41</v>
      </c>
      <c r="L22" s="34" t="s">
        <v>42</v>
      </c>
      <c r="M22" s="34" t="s">
        <v>43</v>
      </c>
      <c r="N22" s="34" t="s">
        <v>44</v>
      </c>
      <c r="O22" s="261"/>
      <c r="P22" s="342"/>
      <c r="Q22" s="261"/>
      <c r="R22" s="346"/>
      <c r="S22" s="348"/>
      <c r="T22" s="348"/>
      <c r="U22" s="348"/>
      <c r="V22" s="348"/>
      <c r="W22" s="348"/>
      <c r="X22" s="348"/>
    </row>
    <row r="23" spans="1:27" ht="30" customHeight="1">
      <c r="A23" s="276"/>
      <c r="B23" s="276"/>
      <c r="C23" s="260" t="s">
        <v>45</v>
      </c>
      <c r="D23" s="260"/>
      <c r="E23" s="260"/>
      <c r="F23" s="260"/>
      <c r="G23" s="260"/>
      <c r="H23" s="260"/>
      <c r="I23" s="260"/>
      <c r="J23" s="42">
        <v>2</v>
      </c>
      <c r="K23" s="42">
        <v>32</v>
      </c>
      <c r="L23" s="42">
        <v>32</v>
      </c>
      <c r="M23" s="43"/>
      <c r="N23" s="43"/>
      <c r="O23" s="43"/>
      <c r="P23" s="43">
        <f>L2</f>
        <v>2</v>
      </c>
      <c r="Q23" s="61"/>
      <c r="R23" s="62"/>
      <c r="S23" s="63">
        <f t="shared" ref="S23:S39" si="0">IF(ISERROR(J23*L23/(L23+M23/2+N23/2)),"",J23*L23/(L23+M23/2+N23/2))</f>
        <v>2</v>
      </c>
      <c r="T23" s="63">
        <f t="shared" ref="T23:T39" si="1">IF(ISERROR(J23*M23/2/(L23+M23/2+N23/2)),"",J23*M23/2/(L23+M23/2+N23/2))</f>
        <v>0</v>
      </c>
      <c r="U23" s="63">
        <f t="shared" ref="U23:U39" si="2">IF(ISERROR(J23*N23/2/(L23+M23/2+N23/2)),"",J23*N23/2/(L23+M23/2+N23/2))</f>
        <v>0</v>
      </c>
      <c r="V23" s="64" t="str">
        <f t="shared" ref="V23:V39" si="3">IF(O23="√",1,"")</f>
        <v/>
      </c>
      <c r="W23" s="65"/>
      <c r="X23" s="65" t="str">
        <f>IF(J23="","",IF(ISERROR(IF(K23&lt;&gt;L23+M23+N23,"学时计算有误！","")&amp;IF(P23="","请填写修读学期！","")&amp;IF(P23&gt;10,"超出修读期限！","")&amp;IF(J23&lt;&gt;S23+T23+U23,"学分计算有误！","")),"",IF(K23&lt;&gt;L23+M23+N23,"学时计算有误！","")&amp;IF(P23="","请填写修读学期！","")&amp;IF(P23&gt;10,"超出修读期限！","")&amp;IF(J23&lt;&gt;S23+T23+U23,"学分计算有误！",""))&amp;IF(K23="","学时没填，影响学分统计！",""))</f>
        <v/>
      </c>
    </row>
    <row r="24" spans="1:27" ht="46.5" customHeight="1">
      <c r="A24" s="276"/>
      <c r="B24" s="276"/>
      <c r="C24" s="260" t="s">
        <v>46</v>
      </c>
      <c r="D24" s="260"/>
      <c r="E24" s="260"/>
      <c r="F24" s="260"/>
      <c r="G24" s="260"/>
      <c r="H24" s="260"/>
      <c r="I24" s="260"/>
      <c r="J24" s="43" t="str">
        <f>IF(C1="思想政治教育（师范）","",3)</f>
        <v/>
      </c>
      <c r="K24" s="43" t="str">
        <f>IF(C1="思想政治教育（师范）","",48)</f>
        <v/>
      </c>
      <c r="L24" s="43" t="str">
        <f>IF(C1="思想政治教育（师范）","",32)</f>
        <v/>
      </c>
      <c r="M24" s="43"/>
      <c r="N24" s="43" t="str">
        <f>IF(C1="思想政治教育（师范）","",16)</f>
        <v/>
      </c>
      <c r="O24" s="43"/>
      <c r="P24" s="43" t="str">
        <f>IF(C1="思想政治教育（师范）","",IF(O1="理工科",2,1))</f>
        <v/>
      </c>
      <c r="Q24" s="61"/>
      <c r="R24" s="62"/>
      <c r="S24" s="63" t="str">
        <f t="shared" si="0"/>
        <v/>
      </c>
      <c r="T24" s="63" t="str">
        <f t="shared" si="1"/>
        <v/>
      </c>
      <c r="U24" s="63" t="str">
        <f t="shared" si="2"/>
        <v/>
      </c>
      <c r="V24" s="64" t="str">
        <f t="shared" si="3"/>
        <v/>
      </c>
      <c r="W24" s="65"/>
      <c r="X24" s="65" t="str">
        <f t="shared" ref="X24:X39" si="4">IF(J24="","",IF(ISERROR(IF(K24&lt;&gt;L24+M24+N24,"学时计算有误！","")&amp;IF(P24="","请填写修读学期！","")&amp;IF(P24&gt;10,"超出修读期限！","")&amp;IF(J24&lt;&gt;S24+T24+U24,"学分计算有误！","")),"",IF(K24&lt;&gt;L24+M24+N24,"学时计算有误！","")&amp;IF(P24="","请填写修读学期！","")&amp;IF(P24&gt;10,"超出修读期限！","")&amp;IF(J24&lt;&gt;S24+T24+U24,"学分计算有误！",""))&amp;IF(K24="","学时没填，影响学分统计！",""))</f>
        <v/>
      </c>
    </row>
    <row r="25" spans="1:27" ht="41.25" customHeight="1">
      <c r="A25" s="276"/>
      <c r="B25" s="276"/>
      <c r="C25" s="260" t="s">
        <v>47</v>
      </c>
      <c r="D25" s="260"/>
      <c r="E25" s="260"/>
      <c r="F25" s="260"/>
      <c r="G25" s="260"/>
      <c r="H25" s="260"/>
      <c r="I25" s="260"/>
      <c r="J25" s="43" t="str">
        <f>IF(C1="思想政治教育（师范）","",3)</f>
        <v/>
      </c>
      <c r="K25" s="43" t="str">
        <f>IF(C1="思想政治教育（师范）","",48)</f>
        <v/>
      </c>
      <c r="L25" s="43" t="str">
        <f>IF(C1="思想政治教育（师范）","",32)</f>
        <v/>
      </c>
      <c r="M25" s="43"/>
      <c r="N25" s="43" t="str">
        <f>IF(C1="思想政治教育（师范）","",16)</f>
        <v/>
      </c>
      <c r="O25" s="43"/>
      <c r="P25" s="43" t="str">
        <f>IF(C1="思想政治教育（师范）","",IF(O1="理工科",1,2))</f>
        <v/>
      </c>
      <c r="Q25" s="61"/>
      <c r="R25" s="62"/>
      <c r="S25" s="63" t="str">
        <f t="shared" si="0"/>
        <v/>
      </c>
      <c r="T25" s="63" t="str">
        <f t="shared" si="1"/>
        <v/>
      </c>
      <c r="U25" s="63" t="str">
        <f t="shared" si="2"/>
        <v/>
      </c>
      <c r="V25" s="64" t="str">
        <f t="shared" si="3"/>
        <v/>
      </c>
      <c r="W25" s="65"/>
      <c r="X25" s="65" t="str">
        <f t="shared" si="4"/>
        <v/>
      </c>
    </row>
    <row r="26" spans="1:27" ht="42" customHeight="1">
      <c r="A26" s="276"/>
      <c r="B26" s="276"/>
      <c r="C26" s="260" t="s">
        <v>48</v>
      </c>
      <c r="D26" s="260"/>
      <c r="E26" s="260"/>
      <c r="F26" s="260"/>
      <c r="G26" s="260"/>
      <c r="H26" s="260"/>
      <c r="I26" s="260"/>
      <c r="J26" s="43" t="str">
        <f>IF(C1="历史学（师范）","",IF(C1="思想政治教育（师范）","",2))</f>
        <v/>
      </c>
      <c r="K26" s="43" t="str">
        <f>IF(C1="历史学（师范）","",IF(C1="思想政治教育（师范）","",32))</f>
        <v/>
      </c>
      <c r="L26" s="43" t="str">
        <f>IF(C1="历史学（师范）","",IF(C1="思想政治教育（师范）","",28))</f>
        <v/>
      </c>
      <c r="M26" s="43"/>
      <c r="N26" s="43" t="str">
        <f>IF(C1="历史学（师范）","",IF(C1="思想政治教育（师范）","",4))</f>
        <v/>
      </c>
      <c r="O26" s="43"/>
      <c r="P26" s="43" t="str">
        <f>IF(C1="历史学（师范）","",IF(C1="思想政治教育（师范）","",IF(O1="理工科",2,1)))</f>
        <v/>
      </c>
      <c r="Q26" s="61"/>
      <c r="R26" s="66"/>
      <c r="S26" s="63" t="str">
        <f t="shared" si="0"/>
        <v/>
      </c>
      <c r="T26" s="63" t="str">
        <f t="shared" si="1"/>
        <v/>
      </c>
      <c r="U26" s="63" t="str">
        <f t="shared" si="2"/>
        <v/>
      </c>
      <c r="V26" s="64" t="str">
        <f t="shared" si="3"/>
        <v/>
      </c>
      <c r="W26" s="65"/>
      <c r="X26" s="65" t="str">
        <f t="shared" si="4"/>
        <v/>
      </c>
    </row>
    <row r="27" spans="1:27" ht="65.25" customHeight="1">
      <c r="A27" s="276"/>
      <c r="B27" s="276"/>
      <c r="C27" s="260" t="s">
        <v>49</v>
      </c>
      <c r="D27" s="260"/>
      <c r="E27" s="260"/>
      <c r="F27" s="260"/>
      <c r="G27" s="260"/>
      <c r="H27" s="260"/>
      <c r="I27" s="260"/>
      <c r="J27" s="43" t="str">
        <f>IF(C1="思想政治教育（师范）","",4)</f>
        <v/>
      </c>
      <c r="K27" s="43" t="str">
        <f>IF(C1="思想政治教育（师范）","",64)</f>
        <v/>
      </c>
      <c r="L27" s="43" t="str">
        <f>IF(C1="思想政治教育（师范）","",48)</f>
        <v/>
      </c>
      <c r="M27" s="43"/>
      <c r="N27" s="43" t="str">
        <f>IF(C1="思想政治教育（师范）","",16)</f>
        <v/>
      </c>
      <c r="O27" s="44" t="str">
        <f>IF(C1="思想政治教育（师范）","","√")</f>
        <v/>
      </c>
      <c r="P27" s="43" t="str">
        <f>IF(C1="思想政治教育（师范）","",IF(O1="理工科",4,3))</f>
        <v/>
      </c>
      <c r="Q27" s="61"/>
      <c r="R27" s="62"/>
      <c r="S27" s="63" t="str">
        <f t="shared" si="0"/>
        <v/>
      </c>
      <c r="T27" s="63" t="str">
        <f t="shared" si="1"/>
        <v/>
      </c>
      <c r="U27" s="63" t="str">
        <f t="shared" si="2"/>
        <v/>
      </c>
      <c r="V27" s="64" t="str">
        <f t="shared" si="3"/>
        <v/>
      </c>
      <c r="W27" s="65"/>
      <c r="X27" s="65" t="str">
        <f t="shared" si="4"/>
        <v/>
      </c>
    </row>
    <row r="28" spans="1:27" ht="30" customHeight="1">
      <c r="A28" s="276"/>
      <c r="B28" s="276"/>
      <c r="C28" s="260" t="s">
        <v>51</v>
      </c>
      <c r="D28" s="260"/>
      <c r="E28" s="260"/>
      <c r="F28" s="260"/>
      <c r="G28" s="260"/>
      <c r="H28" s="260"/>
      <c r="I28" s="260"/>
      <c r="J28" s="43">
        <f>IF(C1="英语（师范）","",3)</f>
        <v>3</v>
      </c>
      <c r="K28" s="43">
        <f>IF(C1="英语（师范）","",48)</f>
        <v>48</v>
      </c>
      <c r="L28" s="43">
        <f>IF(C1="英语（师范）","",48)</f>
        <v>48</v>
      </c>
      <c r="M28" s="45"/>
      <c r="N28" s="45"/>
      <c r="O28" s="44" t="str">
        <f>IF(C1="英语（师范）","","√")</f>
        <v>√</v>
      </c>
      <c r="P28" s="43">
        <f>IF(C1="英语（师范）","",1)</f>
        <v>1</v>
      </c>
      <c r="Q28" s="61"/>
      <c r="R28" s="62"/>
      <c r="S28" s="63">
        <f t="shared" si="0"/>
        <v>3</v>
      </c>
      <c r="T28" s="63">
        <f t="shared" si="1"/>
        <v>0</v>
      </c>
      <c r="U28" s="63">
        <f t="shared" si="2"/>
        <v>0</v>
      </c>
      <c r="V28" s="64">
        <f t="shared" si="3"/>
        <v>1</v>
      </c>
      <c r="W28" s="65"/>
      <c r="X28" s="65" t="str">
        <f t="shared" si="4"/>
        <v/>
      </c>
    </row>
    <row r="29" spans="1:27" ht="30" customHeight="1">
      <c r="A29" s="276"/>
      <c r="B29" s="276"/>
      <c r="C29" s="260" t="s">
        <v>52</v>
      </c>
      <c r="D29" s="260"/>
      <c r="E29" s="260"/>
      <c r="F29" s="260"/>
      <c r="G29" s="260"/>
      <c r="H29" s="260"/>
      <c r="I29" s="260"/>
      <c r="J29" s="43">
        <f>IF(C1="英语（师范）","",3)</f>
        <v>3</v>
      </c>
      <c r="K29" s="43">
        <f>IF(C1="英语（师范）","",56)</f>
        <v>56</v>
      </c>
      <c r="L29" s="43">
        <f>IF(C1="英语（师范）","",48)</f>
        <v>48</v>
      </c>
      <c r="M29" s="45"/>
      <c r="N29" s="43">
        <f>IF(C1="英语（师范）","",8)</f>
        <v>8</v>
      </c>
      <c r="O29" s="44" t="str">
        <f>IF(C1="英语（师范）","","√")</f>
        <v>√</v>
      </c>
      <c r="P29" s="43">
        <f>IF(C1="英语（师范）","",2)</f>
        <v>2</v>
      </c>
      <c r="Q29" s="61"/>
      <c r="R29" s="62"/>
      <c r="S29" s="63">
        <f t="shared" si="0"/>
        <v>2.7692307692307692</v>
      </c>
      <c r="T29" s="63">
        <f t="shared" si="1"/>
        <v>0</v>
      </c>
      <c r="U29" s="63">
        <f t="shared" si="2"/>
        <v>0.23076923076923078</v>
      </c>
      <c r="V29" s="64">
        <f t="shared" si="3"/>
        <v>1</v>
      </c>
      <c r="W29" s="65"/>
      <c r="X29" s="65" t="str">
        <f t="shared" si="4"/>
        <v/>
      </c>
    </row>
    <row r="30" spans="1:27" ht="30" customHeight="1">
      <c r="A30" s="276"/>
      <c r="B30" s="276"/>
      <c r="C30" s="260" t="s">
        <v>53</v>
      </c>
      <c r="D30" s="260"/>
      <c r="E30" s="260"/>
      <c r="F30" s="260"/>
      <c r="G30" s="260"/>
      <c r="H30" s="260"/>
      <c r="I30" s="260"/>
      <c r="J30" s="43">
        <f>IF(C1="英语（师范）","",3)</f>
        <v>3</v>
      </c>
      <c r="K30" s="43">
        <f>IF(C1="英语（师范）","",56)</f>
        <v>56</v>
      </c>
      <c r="L30" s="43">
        <f>IF(C1="英语（师范）","",48)</f>
        <v>48</v>
      </c>
      <c r="M30" s="45"/>
      <c r="N30" s="43">
        <f>IF(C1="英语（师范）","",8)</f>
        <v>8</v>
      </c>
      <c r="O30" s="44" t="str">
        <f>IF(C1="英语（师范）","","√")</f>
        <v>√</v>
      </c>
      <c r="P30" s="43">
        <f>IF(C1="英语（师范）","",3)</f>
        <v>3</v>
      </c>
      <c r="Q30" s="61"/>
      <c r="R30" s="62"/>
      <c r="S30" s="63">
        <f t="shared" si="0"/>
        <v>2.7692307692307692</v>
      </c>
      <c r="T30" s="63">
        <f t="shared" si="1"/>
        <v>0</v>
      </c>
      <c r="U30" s="63">
        <f t="shared" si="2"/>
        <v>0.23076923076923078</v>
      </c>
      <c r="V30" s="64">
        <f t="shared" si="3"/>
        <v>1</v>
      </c>
      <c r="W30" s="65"/>
      <c r="X30" s="65" t="str">
        <f t="shared" si="4"/>
        <v/>
      </c>
    </row>
    <row r="31" spans="1:27" ht="30" customHeight="1">
      <c r="A31" s="276"/>
      <c r="B31" s="276"/>
      <c r="C31" s="260" t="s">
        <v>54</v>
      </c>
      <c r="D31" s="260"/>
      <c r="E31" s="260"/>
      <c r="F31" s="260"/>
      <c r="G31" s="260"/>
      <c r="H31" s="260"/>
      <c r="I31" s="260"/>
      <c r="J31" s="43">
        <f>IF(C1="英语（师范）","",3)</f>
        <v>3</v>
      </c>
      <c r="K31" s="43">
        <f>IF(C1="英语（师范）","",48)</f>
        <v>48</v>
      </c>
      <c r="L31" s="43">
        <f>IF(C1="英语（师范）","",48)</f>
        <v>48</v>
      </c>
      <c r="M31" s="45"/>
      <c r="N31" s="45"/>
      <c r="O31" s="44" t="str">
        <f>IF(C1="英语（师范）","","√")</f>
        <v>√</v>
      </c>
      <c r="P31" s="43">
        <f>IF(C1="英语（师范）","",4)</f>
        <v>4</v>
      </c>
      <c r="Q31" s="61"/>
      <c r="R31" s="62"/>
      <c r="S31" s="63">
        <f t="shared" si="0"/>
        <v>3</v>
      </c>
      <c r="T31" s="63">
        <f t="shared" si="1"/>
        <v>0</v>
      </c>
      <c r="U31" s="63">
        <f t="shared" si="2"/>
        <v>0</v>
      </c>
      <c r="V31" s="64">
        <f t="shared" si="3"/>
        <v>1</v>
      </c>
      <c r="W31" s="65"/>
      <c r="X31" s="65" t="str">
        <f t="shared" si="4"/>
        <v/>
      </c>
    </row>
    <row r="32" spans="1:27" ht="30" customHeight="1">
      <c r="A32" s="276"/>
      <c r="B32" s="276"/>
      <c r="C32" s="260" t="s">
        <v>55</v>
      </c>
      <c r="D32" s="260"/>
      <c r="E32" s="260"/>
      <c r="F32" s="260"/>
      <c r="G32" s="260"/>
      <c r="H32" s="260"/>
      <c r="I32" s="260"/>
      <c r="J32" s="43">
        <f>IF(C1="体育教育","",1)</f>
        <v>1</v>
      </c>
      <c r="K32" s="43">
        <f>IF(C1="体育教育","",36)</f>
        <v>36</v>
      </c>
      <c r="L32" s="43"/>
      <c r="M32" s="45"/>
      <c r="N32" s="43">
        <f>IF(C1="体育教育","",36)</f>
        <v>36</v>
      </c>
      <c r="O32" s="44" t="str">
        <f>IF(C1="体育教育","","√")</f>
        <v>√</v>
      </c>
      <c r="P32" s="43">
        <f>IF(C1="体育教育","",1)</f>
        <v>1</v>
      </c>
      <c r="Q32" s="61"/>
      <c r="R32" s="62"/>
      <c r="S32" s="63">
        <f t="shared" si="0"/>
        <v>0</v>
      </c>
      <c r="T32" s="63">
        <f t="shared" si="1"/>
        <v>0</v>
      </c>
      <c r="U32" s="63">
        <f t="shared" si="2"/>
        <v>1</v>
      </c>
      <c r="V32" s="64">
        <f t="shared" si="3"/>
        <v>1</v>
      </c>
      <c r="W32" s="65"/>
      <c r="X32" s="65" t="str">
        <f t="shared" si="4"/>
        <v/>
      </c>
    </row>
    <row r="33" spans="1:24" ht="30" customHeight="1">
      <c r="A33" s="276"/>
      <c r="B33" s="276"/>
      <c r="C33" s="260" t="s">
        <v>56</v>
      </c>
      <c r="D33" s="260"/>
      <c r="E33" s="260"/>
      <c r="F33" s="260"/>
      <c r="G33" s="260"/>
      <c r="H33" s="260"/>
      <c r="I33" s="260"/>
      <c r="J33" s="43">
        <f>IF(C1="体育教育","",1)</f>
        <v>1</v>
      </c>
      <c r="K33" s="43">
        <f>IF(C1="体育教育","",36)</f>
        <v>36</v>
      </c>
      <c r="L33" s="43"/>
      <c r="M33" s="45"/>
      <c r="N33" s="43">
        <f>IF(C1="体育教育","",36)</f>
        <v>36</v>
      </c>
      <c r="O33" s="44" t="str">
        <f>IF(C1="体育教育","","√")</f>
        <v>√</v>
      </c>
      <c r="P33" s="43">
        <f>IF(C1="体育教育","",2)</f>
        <v>2</v>
      </c>
      <c r="Q33" s="61"/>
      <c r="R33" s="62"/>
      <c r="S33" s="63">
        <f t="shared" si="0"/>
        <v>0</v>
      </c>
      <c r="T33" s="63">
        <f t="shared" si="1"/>
        <v>0</v>
      </c>
      <c r="U33" s="63">
        <f t="shared" si="2"/>
        <v>1</v>
      </c>
      <c r="V33" s="64">
        <f t="shared" si="3"/>
        <v>1</v>
      </c>
      <c r="W33" s="65"/>
      <c r="X33" s="65" t="str">
        <f t="shared" si="4"/>
        <v/>
      </c>
    </row>
    <row r="34" spans="1:24" ht="30" customHeight="1">
      <c r="A34" s="276"/>
      <c r="B34" s="276"/>
      <c r="C34" s="260" t="s">
        <v>57</v>
      </c>
      <c r="D34" s="260"/>
      <c r="E34" s="260"/>
      <c r="F34" s="260"/>
      <c r="G34" s="260"/>
      <c r="H34" s="260"/>
      <c r="I34" s="260"/>
      <c r="J34" s="43">
        <f>IF(C1="体育教育","",1)</f>
        <v>1</v>
      </c>
      <c r="K34" s="43">
        <f>IF(C1="体育教育","",36)</f>
        <v>36</v>
      </c>
      <c r="L34" s="43"/>
      <c r="M34" s="45"/>
      <c r="N34" s="43">
        <f>IF(C1="体育教育","",36)</f>
        <v>36</v>
      </c>
      <c r="O34" s="44" t="str">
        <f>IF(C1="体育教育","","√")</f>
        <v>√</v>
      </c>
      <c r="P34" s="43">
        <f>IF(C1="体育教育","",3)</f>
        <v>3</v>
      </c>
      <c r="Q34" s="61"/>
      <c r="R34" s="62"/>
      <c r="S34" s="63">
        <f t="shared" si="0"/>
        <v>0</v>
      </c>
      <c r="T34" s="63">
        <f t="shared" si="1"/>
        <v>0</v>
      </c>
      <c r="U34" s="63">
        <f t="shared" si="2"/>
        <v>1</v>
      </c>
      <c r="V34" s="64">
        <f t="shared" si="3"/>
        <v>1</v>
      </c>
      <c r="W34" s="65"/>
      <c r="X34" s="65" t="str">
        <f t="shared" si="4"/>
        <v/>
      </c>
    </row>
    <row r="35" spans="1:24" ht="30" customHeight="1">
      <c r="A35" s="276"/>
      <c r="B35" s="276"/>
      <c r="C35" s="260" t="s">
        <v>58</v>
      </c>
      <c r="D35" s="260"/>
      <c r="E35" s="260"/>
      <c r="F35" s="260"/>
      <c r="G35" s="260"/>
      <c r="H35" s="260"/>
      <c r="I35" s="260"/>
      <c r="J35" s="43">
        <f>IF(C1="体育教育","",1)</f>
        <v>1</v>
      </c>
      <c r="K35" s="43">
        <f>IF(C1="体育教育","",36)</f>
        <v>36</v>
      </c>
      <c r="L35" s="43"/>
      <c r="M35" s="45"/>
      <c r="N35" s="43">
        <f>IF(C1="体育教育","",36)</f>
        <v>36</v>
      </c>
      <c r="O35" s="44" t="str">
        <f>IF(C1="体育教育","","√")</f>
        <v>√</v>
      </c>
      <c r="P35" s="43">
        <f>IF(C1="体育教育","",4)</f>
        <v>4</v>
      </c>
      <c r="Q35" s="61"/>
      <c r="R35" s="62"/>
      <c r="S35" s="63">
        <f t="shared" si="0"/>
        <v>0</v>
      </c>
      <c r="T35" s="63">
        <f t="shared" si="1"/>
        <v>0</v>
      </c>
      <c r="U35" s="63">
        <f t="shared" si="2"/>
        <v>1</v>
      </c>
      <c r="V35" s="64">
        <f t="shared" si="3"/>
        <v>1</v>
      </c>
      <c r="W35" s="65"/>
      <c r="X35" s="65" t="str">
        <f t="shared" si="4"/>
        <v/>
      </c>
    </row>
    <row r="36" spans="1:24" ht="30" customHeight="1">
      <c r="A36" s="276"/>
      <c r="B36" s="276"/>
      <c r="C36" s="260" t="s">
        <v>59</v>
      </c>
      <c r="D36" s="260"/>
      <c r="E36" s="260"/>
      <c r="F36" s="260"/>
      <c r="G36" s="260"/>
      <c r="H36" s="260"/>
      <c r="I36" s="260"/>
      <c r="J36" s="43">
        <v>2</v>
      </c>
      <c r="K36" s="43">
        <v>36</v>
      </c>
      <c r="L36" s="43">
        <v>36</v>
      </c>
      <c r="M36" s="45"/>
      <c r="N36" s="43"/>
      <c r="O36" s="44" t="s">
        <v>50</v>
      </c>
      <c r="P36" s="43">
        <v>5</v>
      </c>
      <c r="Q36" s="67" t="s">
        <v>60</v>
      </c>
      <c r="R36" s="68"/>
      <c r="S36" s="63">
        <f t="shared" si="0"/>
        <v>2</v>
      </c>
      <c r="T36" s="63">
        <f t="shared" si="1"/>
        <v>0</v>
      </c>
      <c r="U36" s="63">
        <f t="shared" si="2"/>
        <v>0</v>
      </c>
      <c r="V36" s="64">
        <f t="shared" si="3"/>
        <v>1</v>
      </c>
      <c r="W36" s="65"/>
      <c r="X36" s="65" t="str">
        <f t="shared" si="4"/>
        <v/>
      </c>
    </row>
    <row r="37" spans="1:24" ht="22.5" customHeight="1">
      <c r="A37" s="276"/>
      <c r="B37" s="276"/>
      <c r="C37" s="264"/>
      <c r="D37" s="264"/>
      <c r="E37" s="264"/>
      <c r="F37" s="264"/>
      <c r="G37" s="264"/>
      <c r="H37" s="264"/>
      <c r="I37" s="264"/>
      <c r="J37" s="46"/>
      <c r="K37" s="46"/>
      <c r="L37" s="46"/>
      <c r="M37" s="47"/>
      <c r="N37" s="46"/>
      <c r="O37" s="48"/>
      <c r="P37" s="46"/>
      <c r="Q37" s="69"/>
      <c r="R37" s="70"/>
      <c r="S37" s="71" t="str">
        <f t="shared" si="0"/>
        <v/>
      </c>
      <c r="T37" s="71" t="str">
        <f t="shared" si="1"/>
        <v/>
      </c>
      <c r="U37" s="71" t="str">
        <f t="shared" si="2"/>
        <v/>
      </c>
      <c r="V37" s="72" t="str">
        <f t="shared" si="3"/>
        <v/>
      </c>
      <c r="W37" s="73"/>
      <c r="X37" s="74" t="str">
        <f t="shared" si="4"/>
        <v/>
      </c>
    </row>
    <row r="38" spans="1:24" ht="23.25" customHeight="1">
      <c r="A38" s="276"/>
      <c r="B38" s="276"/>
      <c r="C38" s="264"/>
      <c r="D38" s="264"/>
      <c r="E38" s="264"/>
      <c r="F38" s="264"/>
      <c r="G38" s="264"/>
      <c r="H38" s="264"/>
      <c r="I38" s="264"/>
      <c r="J38" s="46"/>
      <c r="K38" s="46"/>
      <c r="L38" s="46"/>
      <c r="M38" s="47"/>
      <c r="N38" s="46"/>
      <c r="O38" s="48"/>
      <c r="P38" s="46"/>
      <c r="Q38" s="69"/>
      <c r="R38" s="70"/>
      <c r="S38" s="71" t="str">
        <f t="shared" si="0"/>
        <v/>
      </c>
      <c r="T38" s="71" t="str">
        <f t="shared" si="1"/>
        <v/>
      </c>
      <c r="U38" s="71" t="str">
        <f t="shared" si="2"/>
        <v/>
      </c>
      <c r="V38" s="72" t="str">
        <f t="shared" si="3"/>
        <v/>
      </c>
      <c r="W38" s="73"/>
      <c r="X38" s="74" t="str">
        <f t="shared" si="4"/>
        <v/>
      </c>
    </row>
    <row r="39" spans="1:24" ht="21" customHeight="1">
      <c r="A39" s="276"/>
      <c r="B39" s="276"/>
      <c r="C39" s="264"/>
      <c r="D39" s="264"/>
      <c r="E39" s="264"/>
      <c r="F39" s="264"/>
      <c r="G39" s="264"/>
      <c r="H39" s="264"/>
      <c r="I39" s="264"/>
      <c r="J39" s="46"/>
      <c r="K39" s="46"/>
      <c r="L39" s="46"/>
      <c r="M39" s="47"/>
      <c r="N39" s="46"/>
      <c r="O39" s="48"/>
      <c r="P39" s="46"/>
      <c r="Q39" s="69"/>
      <c r="R39" s="70"/>
      <c r="S39" s="75" t="str">
        <f t="shared" si="0"/>
        <v/>
      </c>
      <c r="T39" s="75" t="str">
        <f t="shared" si="1"/>
        <v/>
      </c>
      <c r="U39" s="75" t="str">
        <f t="shared" si="2"/>
        <v/>
      </c>
      <c r="V39" s="76" t="str">
        <f t="shared" si="3"/>
        <v/>
      </c>
      <c r="W39" s="77"/>
      <c r="X39" s="78" t="str">
        <f t="shared" si="4"/>
        <v/>
      </c>
    </row>
    <row r="40" spans="1:24" ht="30" customHeight="1">
      <c r="A40" s="262" t="s">
        <v>61</v>
      </c>
      <c r="B40" s="262" t="s">
        <v>61</v>
      </c>
      <c r="C40" s="270"/>
      <c r="D40" s="270"/>
      <c r="E40" s="270"/>
      <c r="F40" s="270"/>
      <c r="G40" s="270"/>
      <c r="H40" s="270"/>
      <c r="I40" s="270"/>
      <c r="J40" s="49">
        <f>SUM(J23:J39)</f>
        <v>20</v>
      </c>
      <c r="K40" s="49">
        <f>SUM(K23:K39)</f>
        <v>420</v>
      </c>
      <c r="L40" s="49">
        <f>SUM(L23:L39)</f>
        <v>260</v>
      </c>
      <c r="M40" s="49">
        <f>SUM(M23:M39)</f>
        <v>0</v>
      </c>
      <c r="N40" s="49">
        <f>SUM(N23:N39)</f>
        <v>160</v>
      </c>
      <c r="O40" s="35">
        <f>COUNTIF(O23:O39,"√")</f>
        <v>9</v>
      </c>
      <c r="P40" s="49"/>
      <c r="Q40" s="52"/>
      <c r="R40" s="79"/>
      <c r="S40" s="80">
        <f>SUM(S23:S39)</f>
        <v>15.538461538461538</v>
      </c>
      <c r="T40" s="80">
        <f>SUM(T23:T39)</f>
        <v>0</v>
      </c>
      <c r="U40" s="80">
        <f>SUM(U23:U39)</f>
        <v>4.4615384615384617</v>
      </c>
      <c r="V40" s="80"/>
      <c r="W40" s="81"/>
      <c r="X40" s="65" t="str">
        <f>IF(J40&lt;&gt;S40+T40+U40,"学分计算有误！","")</f>
        <v/>
      </c>
    </row>
    <row r="41" spans="1:24" ht="32.25" customHeight="1">
      <c r="A41" s="276"/>
      <c r="B41" s="276"/>
      <c r="C41" s="260" t="s">
        <v>62</v>
      </c>
      <c r="D41" s="260"/>
      <c r="E41" s="260"/>
      <c r="F41" s="260"/>
      <c r="G41" s="260"/>
      <c r="H41" s="260"/>
      <c r="I41" s="260"/>
      <c r="J41" s="43">
        <v>2</v>
      </c>
      <c r="K41" s="43">
        <v>2</v>
      </c>
      <c r="L41" s="43"/>
      <c r="M41" s="45"/>
      <c r="N41" s="43"/>
      <c r="O41" s="44" t="s">
        <v>50</v>
      </c>
      <c r="P41" s="43">
        <v>1</v>
      </c>
      <c r="Q41" s="67"/>
      <c r="R41" s="68"/>
      <c r="S41" s="82"/>
      <c r="T41" s="82"/>
      <c r="U41" s="82"/>
      <c r="V41" s="64">
        <f>IF(O41="√",1,"")</f>
        <v>1</v>
      </c>
      <c r="W41" s="83"/>
      <c r="X41" s="65" t="str">
        <f>IF(C41&lt;&gt;"",IF(P41="","请填写修读学期！","")&amp;IF(P41&gt;10,"超出修读期限！",""),"")</f>
        <v/>
      </c>
    </row>
    <row r="42" spans="1:24" ht="63.75" customHeight="1">
      <c r="A42" s="276"/>
      <c r="B42" s="276"/>
      <c r="C42" s="260" t="s">
        <v>63</v>
      </c>
      <c r="D42" s="260"/>
      <c r="E42" s="260"/>
      <c r="F42" s="260"/>
      <c r="G42" s="260"/>
      <c r="H42" s="260"/>
      <c r="I42" s="260"/>
      <c r="J42" s="43" t="str">
        <f>IF(C1="思想政治教育（师范）","",2)</f>
        <v/>
      </c>
      <c r="K42" s="43" t="str">
        <f>IF(C1="思想政治教育（师范）","",3)</f>
        <v/>
      </c>
      <c r="L42" s="43"/>
      <c r="M42" s="43"/>
      <c r="N42" s="43"/>
      <c r="O42" s="44"/>
      <c r="P42" s="43" t="str">
        <f>IF(C1="思想政治教育（师范）","",IF(O1="理工科",4,3))</f>
        <v/>
      </c>
      <c r="Q42" s="67" t="s">
        <v>64</v>
      </c>
      <c r="R42" s="68"/>
      <c r="S42" s="82"/>
      <c r="T42" s="82"/>
      <c r="U42" s="82"/>
      <c r="V42" s="64" t="str">
        <f>IF(O42="√",1,"")</f>
        <v/>
      </c>
      <c r="W42" s="83"/>
      <c r="X42" s="65" t="str">
        <f>IF(C42&lt;&gt;"",IF(P42="","请填写修读学期！","")&amp;IF(P42&gt;10,"超出修读期限！",""),"")</f>
        <v>请填写修读学期！超出修读期限！</v>
      </c>
    </row>
    <row r="43" spans="1:24" ht="19.5" customHeight="1">
      <c r="A43" s="287"/>
      <c r="B43" s="288"/>
      <c r="C43" s="289"/>
      <c r="D43" s="290"/>
      <c r="E43" s="290"/>
      <c r="F43" s="290"/>
      <c r="G43" s="290"/>
      <c r="H43" s="290"/>
      <c r="I43" s="291"/>
      <c r="J43" s="46"/>
      <c r="K43" s="46"/>
      <c r="L43" s="46"/>
      <c r="M43" s="46"/>
      <c r="N43" s="46"/>
      <c r="O43" s="48"/>
      <c r="P43" s="46"/>
      <c r="Q43" s="69"/>
      <c r="R43" s="70"/>
      <c r="S43" s="70"/>
      <c r="T43" s="70"/>
      <c r="U43" s="70"/>
      <c r="V43" s="72" t="str">
        <f>IF(O43="√",1,"")</f>
        <v/>
      </c>
      <c r="W43" s="84"/>
      <c r="X43" s="74" t="str">
        <f>IF(C43&lt;&gt;"",IF(P43="","请填写修读学期！","")&amp;IF(P43&gt;10,"超出修读期限！",""),"")</f>
        <v/>
      </c>
    </row>
    <row r="44" spans="1:24" ht="21.75" customHeight="1">
      <c r="A44" s="287"/>
      <c r="B44" s="288"/>
      <c r="C44" s="289"/>
      <c r="D44" s="290"/>
      <c r="E44" s="290"/>
      <c r="F44" s="290"/>
      <c r="G44" s="290"/>
      <c r="H44" s="290"/>
      <c r="I44" s="291"/>
      <c r="J44" s="46"/>
      <c r="K44" s="46"/>
      <c r="L44" s="46"/>
      <c r="M44" s="46"/>
      <c r="N44" s="46"/>
      <c r="O44" s="48"/>
      <c r="P44" s="46"/>
      <c r="Q44" s="69"/>
      <c r="R44" s="70"/>
      <c r="S44" s="70"/>
      <c r="T44" s="70"/>
      <c r="U44" s="70"/>
      <c r="V44" s="72" t="str">
        <f>IF(O44="√",1,"")</f>
        <v/>
      </c>
      <c r="W44" s="84"/>
      <c r="X44" s="74" t="str">
        <f>IF(C44&lt;&gt;"",IF(P44="","请填写修读学期！","")&amp;IF(P44&gt;10,"超出修读期限！",""),"")</f>
        <v/>
      </c>
    </row>
    <row r="45" spans="1:24" ht="19.5" customHeight="1">
      <c r="A45" s="36"/>
      <c r="B45" s="37"/>
      <c r="C45" s="38"/>
      <c r="D45" s="39"/>
      <c r="E45" s="39"/>
      <c r="F45" s="39"/>
      <c r="G45" s="39"/>
      <c r="H45" s="39"/>
      <c r="I45" s="50"/>
      <c r="J45" s="46"/>
      <c r="K45" s="46"/>
      <c r="L45" s="46"/>
      <c r="M45" s="46"/>
      <c r="N45" s="46"/>
      <c r="O45" s="48"/>
      <c r="P45" s="46"/>
      <c r="Q45" s="69"/>
      <c r="R45" s="70"/>
      <c r="S45" s="85"/>
      <c r="T45" s="85"/>
      <c r="U45" s="85"/>
      <c r="V45" s="76" t="str">
        <f>IF(O45="√",1,"")</f>
        <v/>
      </c>
      <c r="W45" s="86"/>
      <c r="X45" s="78" t="str">
        <f>IF(C45&lt;&gt;"",IF(P45="","请填写修读学期！","")&amp;IF(P45&gt;10,"超出修读期限！",""),"")</f>
        <v/>
      </c>
    </row>
    <row r="46" spans="1:24" ht="30" customHeight="1">
      <c r="A46" s="262" t="s">
        <v>61</v>
      </c>
      <c r="B46" s="262"/>
      <c r="C46" s="270"/>
      <c r="D46" s="270"/>
      <c r="E46" s="270"/>
      <c r="F46" s="270"/>
      <c r="G46" s="270"/>
      <c r="H46" s="270"/>
      <c r="I46" s="270"/>
      <c r="J46" s="35">
        <f>SUM(J41:J45)</f>
        <v>2</v>
      </c>
      <c r="K46" s="49">
        <f>SUM(K41:K45)</f>
        <v>2</v>
      </c>
      <c r="L46" s="49"/>
      <c r="M46" s="49"/>
      <c r="N46" s="49"/>
      <c r="O46" s="35">
        <f>COUNTIF(O41:O45,"√")</f>
        <v>1</v>
      </c>
      <c r="P46" s="49"/>
      <c r="Q46" s="52"/>
      <c r="R46" s="79"/>
      <c r="S46" s="79"/>
      <c r="T46" s="79"/>
      <c r="U46" s="79"/>
      <c r="V46" s="79"/>
      <c r="W46" s="81"/>
      <c r="X46" s="81"/>
    </row>
    <row r="47" spans="1:24" ht="21.95" customHeight="1">
      <c r="A47" s="360" t="str">
        <f>"    2.选修课（"&amp;SUMIF(R50:R50,"&gt;0",J50:J50)+6&amp;"）学分"</f>
        <v xml:space="preserve">    2.选修课（6）学分</v>
      </c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87"/>
      <c r="S47" s="87"/>
      <c r="T47" s="87"/>
      <c r="U47" s="87"/>
      <c r="V47" s="87"/>
      <c r="W47" s="87"/>
      <c r="X47" s="59"/>
    </row>
    <row r="48" spans="1:24" ht="18.75" customHeight="1">
      <c r="A48" s="281" t="s">
        <v>27</v>
      </c>
      <c r="B48" s="283"/>
      <c r="C48" s="281" t="s">
        <v>28</v>
      </c>
      <c r="D48" s="282"/>
      <c r="E48" s="282"/>
      <c r="F48" s="282"/>
      <c r="G48" s="282"/>
      <c r="H48" s="282"/>
      <c r="I48" s="283"/>
      <c r="J48" s="279" t="s">
        <v>29</v>
      </c>
      <c r="K48" s="266" t="s">
        <v>30</v>
      </c>
      <c r="L48" s="267"/>
      <c r="M48" s="267"/>
      <c r="N48" s="268"/>
      <c r="O48" s="279" t="s">
        <v>31</v>
      </c>
      <c r="P48" s="343" t="s">
        <v>32</v>
      </c>
      <c r="Q48" s="279" t="s">
        <v>33</v>
      </c>
      <c r="R48" s="346" t="s">
        <v>34</v>
      </c>
      <c r="S48" s="352" t="s">
        <v>35</v>
      </c>
      <c r="T48" s="352" t="s">
        <v>36</v>
      </c>
      <c r="U48" s="352" t="s">
        <v>37</v>
      </c>
      <c r="V48" s="352" t="s">
        <v>38</v>
      </c>
      <c r="W48" s="352" t="s">
        <v>39</v>
      </c>
      <c r="X48" s="348" t="s">
        <v>40</v>
      </c>
    </row>
    <row r="49" spans="1:27" ht="30" customHeight="1">
      <c r="A49" s="284"/>
      <c r="B49" s="286"/>
      <c r="C49" s="284"/>
      <c r="D49" s="285"/>
      <c r="E49" s="285"/>
      <c r="F49" s="285"/>
      <c r="G49" s="285"/>
      <c r="H49" s="285"/>
      <c r="I49" s="286"/>
      <c r="J49" s="280"/>
      <c r="K49" s="34" t="s">
        <v>41</v>
      </c>
      <c r="L49" s="34" t="s">
        <v>42</v>
      </c>
      <c r="M49" s="34" t="s">
        <v>43</v>
      </c>
      <c r="N49" s="34" t="s">
        <v>44</v>
      </c>
      <c r="O49" s="280"/>
      <c r="P49" s="344"/>
      <c r="Q49" s="280"/>
      <c r="R49" s="346"/>
      <c r="S49" s="353"/>
      <c r="T49" s="353"/>
      <c r="U49" s="353"/>
      <c r="V49" s="353"/>
      <c r="W49" s="353"/>
      <c r="X49" s="348"/>
    </row>
    <row r="50" spans="1:27" ht="51.75" customHeight="1">
      <c r="A50" s="269"/>
      <c r="B50" s="269"/>
      <c r="C50" s="260" t="s">
        <v>65</v>
      </c>
      <c r="D50" s="260"/>
      <c r="E50" s="260"/>
      <c r="F50" s="260"/>
      <c r="G50" s="260"/>
      <c r="H50" s="260"/>
      <c r="I50" s="260"/>
      <c r="J50" s="43">
        <v>6</v>
      </c>
      <c r="K50" s="43">
        <v>96</v>
      </c>
      <c r="L50" s="43"/>
      <c r="M50" s="43"/>
      <c r="N50" s="43"/>
      <c r="O50" s="43"/>
      <c r="P50" s="51" t="s">
        <v>66</v>
      </c>
      <c r="Q50" s="51"/>
      <c r="R50" s="88"/>
      <c r="S50" s="63" t="str">
        <f>IF(ISERROR(J50*L50/(L50+M50/2+N50/2)),"",J50*L50/(L50+M50/2+N50/2))</f>
        <v/>
      </c>
      <c r="T50" s="63" t="str">
        <f>IF(ISERROR(J50*M50/2/(L50+M50/2+N50/2)),"",J50*M50/2/(L50+M50/2+N50/2))</f>
        <v/>
      </c>
      <c r="U50" s="63" t="str">
        <f>IF(ISERROR(J50*N50/2/(L50+M50/2+N50/2)),"",J50*N50/2/(L50+M50/2+N50/2))</f>
        <v/>
      </c>
      <c r="V50" s="64" t="str">
        <f>IF(O50="√",1,"")</f>
        <v/>
      </c>
      <c r="W50" s="65"/>
      <c r="X50" s="74" t="str">
        <f>IF(J50="","",IF(K50="","学时没填，影响学分统计！",""))</f>
        <v/>
      </c>
      <c r="Y50" s="30"/>
      <c r="AA50" s="30"/>
    </row>
    <row r="51" spans="1:27" ht="39" customHeight="1">
      <c r="A51" s="262" t="s">
        <v>61</v>
      </c>
      <c r="B51" s="262"/>
      <c r="C51" s="270"/>
      <c r="D51" s="270"/>
      <c r="E51" s="270"/>
      <c r="F51" s="270"/>
      <c r="G51" s="270"/>
      <c r="H51" s="270"/>
      <c r="I51" s="270"/>
      <c r="J51" s="49">
        <f>SUM(J50)</f>
        <v>6</v>
      </c>
      <c r="K51" s="52"/>
      <c r="L51" s="52"/>
      <c r="M51" s="52"/>
      <c r="N51" s="52"/>
      <c r="O51" s="35"/>
      <c r="P51" s="53"/>
      <c r="Q51" s="52"/>
      <c r="R51" s="79"/>
      <c r="S51" s="79"/>
      <c r="T51" s="79"/>
      <c r="U51" s="79"/>
      <c r="V51" s="79"/>
      <c r="W51" s="79"/>
      <c r="X51" s="89"/>
    </row>
    <row r="52" spans="1:27" ht="21.95" customHeight="1">
      <c r="A52" s="360" t="str">
        <f>"    （二）综合素质培养课程平台（"&amp;J64+J69+SUMIF(R73:R76,"&lt;=10",J73:J76)&amp;"学分）"</f>
        <v xml:space="preserve">    （二）综合素质培养课程平台（14学分）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90"/>
      <c r="S52" s="90"/>
      <c r="T52" s="90"/>
      <c r="U52" s="90"/>
      <c r="V52" s="90"/>
      <c r="W52" s="90"/>
      <c r="X52" s="59"/>
    </row>
    <row r="53" spans="1:27" ht="21.95" customHeight="1">
      <c r="A53" s="360" t="str">
        <f>"    1.必修课（"&amp;J64+J69&amp;"）学分"</f>
        <v xml:space="preserve">    1.必修课（9）学分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60"/>
      <c r="S53" s="60"/>
      <c r="T53" s="60"/>
      <c r="U53" s="60"/>
      <c r="V53" s="60"/>
      <c r="W53" s="60"/>
      <c r="X53" s="59"/>
    </row>
    <row r="54" spans="1:27" ht="18.75" customHeight="1">
      <c r="A54" s="261" t="s">
        <v>27</v>
      </c>
      <c r="B54" s="261"/>
      <c r="C54" s="261" t="s">
        <v>28</v>
      </c>
      <c r="D54" s="261"/>
      <c r="E54" s="261"/>
      <c r="F54" s="261"/>
      <c r="G54" s="261"/>
      <c r="H54" s="261"/>
      <c r="I54" s="261"/>
      <c r="J54" s="261" t="s">
        <v>29</v>
      </c>
      <c r="K54" s="262" t="s">
        <v>30</v>
      </c>
      <c r="L54" s="262"/>
      <c r="M54" s="262"/>
      <c r="N54" s="262"/>
      <c r="O54" s="261" t="s">
        <v>31</v>
      </c>
      <c r="P54" s="342" t="s">
        <v>32</v>
      </c>
      <c r="Q54" s="261" t="s">
        <v>33</v>
      </c>
      <c r="R54" s="346" t="s">
        <v>34</v>
      </c>
      <c r="S54" s="348" t="s">
        <v>35</v>
      </c>
      <c r="T54" s="348" t="s">
        <v>36</v>
      </c>
      <c r="U54" s="348" t="s">
        <v>37</v>
      </c>
      <c r="V54" s="348" t="s">
        <v>38</v>
      </c>
      <c r="W54" s="348" t="s">
        <v>39</v>
      </c>
      <c r="X54" s="348" t="s">
        <v>40</v>
      </c>
    </row>
    <row r="55" spans="1:27" ht="30" customHeight="1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34" t="s">
        <v>41</v>
      </c>
      <c r="L55" s="34" t="s">
        <v>42</v>
      </c>
      <c r="M55" s="34" t="s">
        <v>43</v>
      </c>
      <c r="N55" s="34" t="s">
        <v>44</v>
      </c>
      <c r="O55" s="261"/>
      <c r="P55" s="342"/>
      <c r="Q55" s="261"/>
      <c r="R55" s="346"/>
      <c r="S55" s="348"/>
      <c r="T55" s="348"/>
      <c r="U55" s="348"/>
      <c r="V55" s="348"/>
      <c r="W55" s="348"/>
      <c r="X55" s="348"/>
    </row>
    <row r="56" spans="1:27" ht="40.5" customHeight="1">
      <c r="A56" s="361"/>
      <c r="B56" s="361"/>
      <c r="C56" s="260" t="s">
        <v>67</v>
      </c>
      <c r="D56" s="260"/>
      <c r="E56" s="260"/>
      <c r="F56" s="260"/>
      <c r="G56" s="260"/>
      <c r="H56" s="260"/>
      <c r="I56" s="260"/>
      <c r="J56" s="54">
        <v>1.5</v>
      </c>
      <c r="K56" s="54">
        <v>32</v>
      </c>
      <c r="L56" s="54">
        <v>16</v>
      </c>
      <c r="M56" s="54"/>
      <c r="N56" s="54">
        <v>16</v>
      </c>
      <c r="O56" s="54"/>
      <c r="P56" s="54">
        <v>2</v>
      </c>
      <c r="Q56" s="91"/>
      <c r="R56" s="68"/>
      <c r="S56" s="63">
        <f t="shared" ref="S56:S63" si="5">IF(ISERROR(J56*L56/(L56+M56/2+N56/2)),"",J56*L56/(L56+M56/2+N56/2))</f>
        <v>1</v>
      </c>
      <c r="T56" s="63">
        <f t="shared" ref="T56:T63" si="6">IF(ISERROR(J56*M56/2/(L56+M56/2+N56/2)),"",J56*M56/2/(L56+M56/2+N56/2))</f>
        <v>0</v>
      </c>
      <c r="U56" s="63">
        <f t="shared" ref="U56:U63" si="7">IF(ISERROR(J56*N56/2/(L56+M56/2+N56/2)),"",J56*N56/2/(L56+M56/2+N56/2))</f>
        <v>0.5</v>
      </c>
      <c r="V56" s="64" t="str">
        <f t="shared" ref="V56:V63" si="8">IF(O56="√",1,"")</f>
        <v/>
      </c>
      <c r="W56" s="65"/>
      <c r="X56" s="65" t="str">
        <f t="shared" ref="X56:X63" si="9">IF(J56="","",IF(ISERROR(IF(K56&lt;&gt;L56+M56+N56,"学时计算有误！","")&amp;IF(P56="","请填写修读学期！","")&amp;IF(P56&gt;10,"超出修读期限！","")&amp;IF(J56&lt;&gt;S56+T56+U56,"学分计算有误！","")),"",IF(K56&lt;&gt;L56+M56+N56,"学时计算有误！","")&amp;IF(P56="","请填写修读学期！","")&amp;IF(P56&gt;10,"超出修读期限！","")&amp;IF(J56&lt;&gt;S56+T56+U56,"学分计算有误！",""))&amp;IF(K56="","学时没填，影响学分统计！",""))</f>
        <v/>
      </c>
    </row>
    <row r="57" spans="1:27" ht="55.5" customHeight="1">
      <c r="A57" s="361"/>
      <c r="B57" s="361"/>
      <c r="C57" s="260" t="s">
        <v>68</v>
      </c>
      <c r="D57" s="260"/>
      <c r="E57" s="260"/>
      <c r="F57" s="260"/>
      <c r="G57" s="260"/>
      <c r="H57" s="260"/>
      <c r="I57" s="260"/>
      <c r="J57" s="54">
        <v>1.5</v>
      </c>
      <c r="K57" s="54">
        <v>32</v>
      </c>
      <c r="L57" s="54">
        <v>16</v>
      </c>
      <c r="M57" s="54"/>
      <c r="N57" s="54">
        <v>16</v>
      </c>
      <c r="O57" s="54"/>
      <c r="P57" s="54">
        <v>3</v>
      </c>
      <c r="Q57" s="91"/>
      <c r="R57" s="68"/>
      <c r="S57" s="63">
        <f t="shared" si="5"/>
        <v>1</v>
      </c>
      <c r="T57" s="63">
        <f t="shared" si="6"/>
        <v>0</v>
      </c>
      <c r="U57" s="63">
        <f t="shared" si="7"/>
        <v>0.5</v>
      </c>
      <c r="V57" s="64" t="str">
        <f t="shared" si="8"/>
        <v/>
      </c>
      <c r="W57" s="65"/>
      <c r="X57" s="65" t="str">
        <f t="shared" si="9"/>
        <v/>
      </c>
    </row>
    <row r="58" spans="1:27" ht="53.25" customHeight="1">
      <c r="A58" s="361"/>
      <c r="B58" s="361"/>
      <c r="C58" s="260" t="s">
        <v>69</v>
      </c>
      <c r="D58" s="260"/>
      <c r="E58" s="260"/>
      <c r="F58" s="260"/>
      <c r="G58" s="260"/>
      <c r="H58" s="260"/>
      <c r="I58" s="260"/>
      <c r="J58" s="54">
        <v>1</v>
      </c>
      <c r="K58" s="54">
        <v>18</v>
      </c>
      <c r="L58" s="54">
        <v>12</v>
      </c>
      <c r="M58" s="54"/>
      <c r="N58" s="54">
        <v>6</v>
      </c>
      <c r="O58" s="54"/>
      <c r="P58" s="54">
        <v>6</v>
      </c>
      <c r="Q58" s="91"/>
      <c r="R58" s="68"/>
      <c r="S58" s="63">
        <f t="shared" si="5"/>
        <v>0.8</v>
      </c>
      <c r="T58" s="63">
        <f t="shared" si="6"/>
        <v>0</v>
      </c>
      <c r="U58" s="63">
        <f t="shared" si="7"/>
        <v>0.2</v>
      </c>
      <c r="V58" s="64" t="str">
        <f t="shared" si="8"/>
        <v/>
      </c>
      <c r="W58" s="65"/>
      <c r="X58" s="65" t="str">
        <f t="shared" si="9"/>
        <v/>
      </c>
    </row>
    <row r="59" spans="1:27" s="28" customFormat="1" ht="30" customHeight="1">
      <c r="A59" s="362"/>
      <c r="B59" s="363"/>
      <c r="C59" s="289" t="s">
        <v>368</v>
      </c>
      <c r="D59" s="290"/>
      <c r="E59" s="290"/>
      <c r="F59" s="290"/>
      <c r="G59" s="290"/>
      <c r="H59" s="290"/>
      <c r="I59" s="291"/>
      <c r="J59" s="55">
        <v>1</v>
      </c>
      <c r="K59" s="55">
        <v>16</v>
      </c>
      <c r="L59" s="55">
        <v>16</v>
      </c>
      <c r="M59" s="46"/>
      <c r="N59" s="46"/>
      <c r="O59" s="46"/>
      <c r="P59" s="46">
        <v>1</v>
      </c>
      <c r="Q59" s="47"/>
      <c r="R59" s="70"/>
      <c r="S59" s="71">
        <f t="shared" si="5"/>
        <v>1</v>
      </c>
      <c r="T59" s="71">
        <f t="shared" si="6"/>
        <v>0</v>
      </c>
      <c r="U59" s="71">
        <f t="shared" si="7"/>
        <v>0</v>
      </c>
      <c r="V59" s="72" t="str">
        <f t="shared" si="8"/>
        <v/>
      </c>
      <c r="W59" s="73"/>
      <c r="X59" s="74" t="str">
        <f t="shared" si="9"/>
        <v/>
      </c>
      <c r="Y59" s="32"/>
      <c r="Z59" s="32"/>
      <c r="AA59" s="32"/>
    </row>
    <row r="60" spans="1:27" ht="40.5" customHeight="1">
      <c r="A60" s="276"/>
      <c r="B60" s="276"/>
      <c r="C60" s="264" t="s">
        <v>369</v>
      </c>
      <c r="D60" s="264"/>
      <c r="E60" s="264"/>
      <c r="F60" s="264"/>
      <c r="G60" s="264"/>
      <c r="H60" s="264"/>
      <c r="I60" s="264"/>
      <c r="J60" s="46">
        <v>2</v>
      </c>
      <c r="K60" s="46">
        <v>32</v>
      </c>
      <c r="L60" s="46">
        <v>32</v>
      </c>
      <c r="M60" s="46"/>
      <c r="N60" s="46"/>
      <c r="O60" s="46"/>
      <c r="P60" s="46">
        <v>1</v>
      </c>
      <c r="Q60" s="69" t="s">
        <v>370</v>
      </c>
      <c r="R60" s="70"/>
      <c r="S60" s="71">
        <f t="shared" si="5"/>
        <v>2</v>
      </c>
      <c r="T60" s="71">
        <f t="shared" si="6"/>
        <v>0</v>
      </c>
      <c r="U60" s="71">
        <f t="shared" si="7"/>
        <v>0</v>
      </c>
      <c r="V60" s="72" t="str">
        <f t="shared" si="8"/>
        <v/>
      </c>
      <c r="W60" s="73"/>
      <c r="X60" s="74" t="str">
        <f t="shared" si="9"/>
        <v/>
      </c>
    </row>
    <row r="61" spans="1:27" ht="36.75" customHeight="1">
      <c r="A61" s="276"/>
      <c r="B61" s="276"/>
      <c r="C61" s="264" t="s">
        <v>371</v>
      </c>
      <c r="D61" s="264"/>
      <c r="E61" s="264"/>
      <c r="F61" s="264"/>
      <c r="G61" s="264"/>
      <c r="H61" s="264"/>
      <c r="I61" s="264"/>
      <c r="J61" s="46">
        <v>1</v>
      </c>
      <c r="K61" s="46">
        <v>24</v>
      </c>
      <c r="L61" s="46">
        <v>12</v>
      </c>
      <c r="M61" s="46"/>
      <c r="N61" s="46">
        <v>12</v>
      </c>
      <c r="O61" s="46"/>
      <c r="P61" s="46">
        <v>4</v>
      </c>
      <c r="Q61" s="69" t="s">
        <v>370</v>
      </c>
      <c r="R61" s="70"/>
      <c r="S61" s="71">
        <f t="shared" si="5"/>
        <v>0.66666666666666663</v>
      </c>
      <c r="T61" s="71">
        <f t="shared" si="6"/>
        <v>0</v>
      </c>
      <c r="U61" s="71">
        <f t="shared" si="7"/>
        <v>0.33333333333333331</v>
      </c>
      <c r="V61" s="72" t="str">
        <f t="shared" si="8"/>
        <v/>
      </c>
      <c r="W61" s="73"/>
      <c r="X61" s="74" t="str">
        <f t="shared" si="9"/>
        <v/>
      </c>
    </row>
    <row r="62" spans="1:27" ht="21.75" customHeight="1">
      <c r="A62" s="276"/>
      <c r="B62" s="276"/>
      <c r="C62" s="264"/>
      <c r="D62" s="264"/>
      <c r="E62" s="264"/>
      <c r="F62" s="264"/>
      <c r="G62" s="264"/>
      <c r="H62" s="264"/>
      <c r="I62" s="264"/>
      <c r="J62" s="46"/>
      <c r="K62" s="46"/>
      <c r="L62" s="46"/>
      <c r="M62" s="46"/>
      <c r="N62" s="46"/>
      <c r="O62" s="46"/>
      <c r="P62" s="46"/>
      <c r="Q62" s="69"/>
      <c r="R62" s="70"/>
      <c r="S62" s="71" t="str">
        <f t="shared" si="5"/>
        <v/>
      </c>
      <c r="T62" s="71" t="str">
        <f t="shared" si="6"/>
        <v/>
      </c>
      <c r="U62" s="71" t="str">
        <f t="shared" si="7"/>
        <v/>
      </c>
      <c r="V62" s="72" t="str">
        <f t="shared" si="8"/>
        <v/>
      </c>
      <c r="W62" s="73"/>
      <c r="X62" s="74" t="str">
        <f t="shared" si="9"/>
        <v/>
      </c>
    </row>
    <row r="63" spans="1:27" ht="21.75" customHeight="1">
      <c r="A63" s="276"/>
      <c r="B63" s="276"/>
      <c r="C63" s="264"/>
      <c r="D63" s="264"/>
      <c r="E63" s="264"/>
      <c r="F63" s="264"/>
      <c r="G63" s="264"/>
      <c r="H63" s="264"/>
      <c r="I63" s="264"/>
      <c r="J63" s="46"/>
      <c r="K63" s="46"/>
      <c r="L63" s="46"/>
      <c r="M63" s="46"/>
      <c r="N63" s="46"/>
      <c r="O63" s="46"/>
      <c r="P63" s="46"/>
      <c r="Q63" s="69"/>
      <c r="R63" s="70"/>
      <c r="S63" s="75" t="str">
        <f t="shared" si="5"/>
        <v/>
      </c>
      <c r="T63" s="75" t="str">
        <f t="shared" si="6"/>
        <v/>
      </c>
      <c r="U63" s="75" t="str">
        <f t="shared" si="7"/>
        <v/>
      </c>
      <c r="V63" s="76" t="str">
        <f t="shared" si="8"/>
        <v/>
      </c>
      <c r="W63" s="77"/>
      <c r="X63" s="78" t="str">
        <f t="shared" si="9"/>
        <v/>
      </c>
    </row>
    <row r="64" spans="1:27" ht="30" customHeight="1">
      <c r="A64" s="262" t="s">
        <v>61</v>
      </c>
      <c r="B64" s="262" t="s">
        <v>61</v>
      </c>
      <c r="C64" s="270"/>
      <c r="D64" s="270"/>
      <c r="E64" s="270"/>
      <c r="F64" s="270"/>
      <c r="G64" s="270"/>
      <c r="H64" s="270"/>
      <c r="I64" s="270"/>
      <c r="J64" s="49">
        <f>SUM(J56:J63)</f>
        <v>8</v>
      </c>
      <c r="K64" s="49">
        <f>SUM(K56:K63)</f>
        <v>154</v>
      </c>
      <c r="L64" s="49">
        <f>SUM(L56:L63)</f>
        <v>104</v>
      </c>
      <c r="M64" s="49">
        <f>SUM(M56:M63)</f>
        <v>0</v>
      </c>
      <c r="N64" s="49">
        <f>SUM(N56:N63)</f>
        <v>50</v>
      </c>
      <c r="O64" s="35">
        <f>COUNTIF(O56:O63,"√")</f>
        <v>0</v>
      </c>
      <c r="P64" s="49"/>
      <c r="Q64" s="92"/>
      <c r="R64" s="79"/>
      <c r="S64" s="80">
        <f>SUM(S56:S63)</f>
        <v>6.4666666666666668</v>
      </c>
      <c r="T64" s="80">
        <f>SUM(T56:T63)</f>
        <v>0</v>
      </c>
      <c r="U64" s="80">
        <f>SUM(U56:U63)</f>
        <v>1.5333333333333332</v>
      </c>
      <c r="V64" s="80"/>
      <c r="W64" s="81"/>
      <c r="X64" s="65" t="str">
        <f>IF(J64&lt;&gt;S64+T64+U64,"学分计算有误！","")</f>
        <v/>
      </c>
    </row>
    <row r="65" spans="1:24" ht="33.75" customHeight="1">
      <c r="A65" s="339"/>
      <c r="B65" s="339"/>
      <c r="C65" s="264" t="s">
        <v>71</v>
      </c>
      <c r="D65" s="264"/>
      <c r="E65" s="264"/>
      <c r="F65" s="264"/>
      <c r="G65" s="264"/>
      <c r="H65" s="264"/>
      <c r="I65" s="264"/>
      <c r="J65" s="46">
        <v>1</v>
      </c>
      <c r="K65" s="46">
        <v>1</v>
      </c>
      <c r="L65" s="46"/>
      <c r="M65" s="46"/>
      <c r="N65" s="46"/>
      <c r="O65" s="46"/>
      <c r="P65" s="46">
        <v>3</v>
      </c>
      <c r="Q65" s="69" t="s">
        <v>370</v>
      </c>
      <c r="R65" s="84"/>
      <c r="S65" s="70"/>
      <c r="T65" s="70"/>
      <c r="U65" s="70"/>
      <c r="V65" s="72" t="str">
        <f>IF(O65="√",1,"")</f>
        <v/>
      </c>
      <c r="W65" s="84"/>
      <c r="X65" s="74" t="str">
        <f>IF(C65&lt;&gt;"",IF(P65="","请填写修读学期！","")&amp;IF(P65&gt;10,"超出修读期限！",""),"")</f>
        <v/>
      </c>
    </row>
    <row r="66" spans="1:24" ht="21" customHeight="1">
      <c r="A66" s="287"/>
      <c r="B66" s="288"/>
      <c r="C66" s="289"/>
      <c r="D66" s="290"/>
      <c r="E66" s="290"/>
      <c r="F66" s="290"/>
      <c r="G66" s="290"/>
      <c r="H66" s="290"/>
      <c r="I66" s="291"/>
      <c r="J66" s="46"/>
      <c r="K66" s="46"/>
      <c r="L66" s="46"/>
      <c r="M66" s="46"/>
      <c r="N66" s="46"/>
      <c r="O66" s="46"/>
      <c r="P66" s="46"/>
      <c r="Q66" s="47"/>
      <c r="R66" s="84"/>
      <c r="S66" s="70"/>
      <c r="T66" s="70"/>
      <c r="U66" s="70"/>
      <c r="V66" s="72" t="str">
        <f>IF(O66="√",1,"")</f>
        <v/>
      </c>
      <c r="W66" s="84"/>
      <c r="X66" s="74" t="str">
        <f>IF(C66&lt;&gt;"",IF(P66="","请填写修读学期！","")&amp;IF(P66&gt;10,"超出修读期限！",""),"")</f>
        <v/>
      </c>
    </row>
    <row r="67" spans="1:24" ht="21.75" customHeight="1">
      <c r="A67" s="276"/>
      <c r="B67" s="276"/>
      <c r="C67" s="264"/>
      <c r="D67" s="264"/>
      <c r="E67" s="264"/>
      <c r="F67" s="264"/>
      <c r="G67" s="264"/>
      <c r="H67" s="264"/>
      <c r="I67" s="264"/>
      <c r="J67" s="46"/>
      <c r="K67" s="46"/>
      <c r="L67" s="46"/>
      <c r="M67" s="46"/>
      <c r="N67" s="46"/>
      <c r="O67" s="46"/>
      <c r="P67" s="46"/>
      <c r="Q67" s="47"/>
      <c r="R67" s="84"/>
      <c r="S67" s="70"/>
      <c r="T67" s="70"/>
      <c r="U67" s="70"/>
      <c r="V67" s="72" t="str">
        <f>IF(O67="√",1,"")</f>
        <v/>
      </c>
      <c r="W67" s="84"/>
      <c r="X67" s="74" t="str">
        <f>IF(C67&lt;&gt;"",IF(P67="","请填写修读学期！","")&amp;IF(P67&gt;10,"超出修读期限！",""),"")</f>
        <v/>
      </c>
    </row>
    <row r="68" spans="1:24" ht="21.75" customHeight="1">
      <c r="A68" s="276"/>
      <c r="B68" s="276"/>
      <c r="C68" s="264"/>
      <c r="D68" s="264"/>
      <c r="E68" s="264"/>
      <c r="F68" s="264"/>
      <c r="G68" s="264"/>
      <c r="H68" s="264"/>
      <c r="I68" s="264"/>
      <c r="J68" s="46"/>
      <c r="K68" s="46"/>
      <c r="L68" s="46"/>
      <c r="M68" s="46"/>
      <c r="N68" s="46"/>
      <c r="O68" s="46"/>
      <c r="P68" s="46"/>
      <c r="Q68" s="47"/>
      <c r="R68" s="84"/>
      <c r="S68" s="85"/>
      <c r="T68" s="85"/>
      <c r="U68" s="85"/>
      <c r="V68" s="76" t="str">
        <f>IF(O68="√",1,"")</f>
        <v/>
      </c>
      <c r="W68" s="86"/>
      <c r="X68" s="78" t="str">
        <f>IF(C68&lt;&gt;"",IF(P68="","请填写修读学期！","")&amp;IF(P68&gt;10,"超出修读期限！",""),"")</f>
        <v/>
      </c>
    </row>
    <row r="69" spans="1:24" ht="30" customHeight="1">
      <c r="A69" s="262" t="s">
        <v>61</v>
      </c>
      <c r="B69" s="262"/>
      <c r="C69" s="270"/>
      <c r="D69" s="270"/>
      <c r="E69" s="270"/>
      <c r="F69" s="270"/>
      <c r="G69" s="270"/>
      <c r="H69" s="270"/>
      <c r="I69" s="270"/>
      <c r="J69" s="35">
        <f>SUM(J65:J68)</f>
        <v>1</v>
      </c>
      <c r="K69" s="49">
        <f>SUM(K65:K68)</f>
        <v>1</v>
      </c>
      <c r="L69" s="49"/>
      <c r="M69" s="49"/>
      <c r="N69" s="49"/>
      <c r="O69" s="35">
        <f>COUNTIF(O65:O68,"√")</f>
        <v>0</v>
      </c>
      <c r="P69" s="49"/>
      <c r="Q69" s="52"/>
      <c r="R69" s="79"/>
      <c r="S69" s="79"/>
      <c r="T69" s="79"/>
      <c r="U69" s="79"/>
      <c r="V69" s="79"/>
      <c r="W69" s="81"/>
      <c r="X69" s="81"/>
    </row>
    <row r="70" spans="1:24" ht="21.95" customHeight="1">
      <c r="A70" s="360" t="str">
        <f>"    2.选修课（"&amp;SUMIF(R73:R76,"&lt;=10",J73:J76)&amp;"）学分"</f>
        <v xml:space="preserve">    2.选修课（5）学分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87"/>
      <c r="S70" s="87"/>
      <c r="T70" s="87"/>
      <c r="U70" s="87"/>
      <c r="V70" s="87"/>
      <c r="W70" s="87"/>
      <c r="X70" s="59"/>
    </row>
    <row r="71" spans="1:24" ht="18.75" customHeight="1">
      <c r="A71" s="281" t="s">
        <v>27</v>
      </c>
      <c r="B71" s="283"/>
      <c r="C71" s="281" t="s">
        <v>28</v>
      </c>
      <c r="D71" s="282"/>
      <c r="E71" s="282"/>
      <c r="F71" s="282"/>
      <c r="G71" s="282"/>
      <c r="H71" s="282"/>
      <c r="I71" s="283"/>
      <c r="J71" s="279" t="s">
        <v>29</v>
      </c>
      <c r="K71" s="266" t="s">
        <v>30</v>
      </c>
      <c r="L71" s="267"/>
      <c r="M71" s="267"/>
      <c r="N71" s="268"/>
      <c r="O71" s="279" t="s">
        <v>31</v>
      </c>
      <c r="P71" s="343" t="s">
        <v>32</v>
      </c>
      <c r="Q71" s="279" t="s">
        <v>33</v>
      </c>
      <c r="R71" s="346" t="s">
        <v>34</v>
      </c>
      <c r="S71" s="352" t="s">
        <v>35</v>
      </c>
      <c r="T71" s="352" t="s">
        <v>36</v>
      </c>
      <c r="U71" s="352" t="s">
        <v>37</v>
      </c>
      <c r="V71" s="352" t="s">
        <v>38</v>
      </c>
      <c r="W71" s="352" t="s">
        <v>39</v>
      </c>
      <c r="X71" s="348" t="s">
        <v>40</v>
      </c>
    </row>
    <row r="72" spans="1:24" ht="30" customHeight="1">
      <c r="A72" s="284"/>
      <c r="B72" s="286"/>
      <c r="C72" s="284"/>
      <c r="D72" s="285"/>
      <c r="E72" s="285"/>
      <c r="F72" s="285"/>
      <c r="G72" s="285"/>
      <c r="H72" s="285"/>
      <c r="I72" s="286"/>
      <c r="J72" s="280"/>
      <c r="K72" s="34" t="s">
        <v>41</v>
      </c>
      <c r="L72" s="34" t="s">
        <v>42</v>
      </c>
      <c r="M72" s="34" t="s">
        <v>43</v>
      </c>
      <c r="N72" s="34" t="s">
        <v>44</v>
      </c>
      <c r="O72" s="280"/>
      <c r="P72" s="344"/>
      <c r="Q72" s="280"/>
      <c r="R72" s="346"/>
      <c r="S72" s="353"/>
      <c r="T72" s="353"/>
      <c r="U72" s="353"/>
      <c r="V72" s="353"/>
      <c r="W72" s="353"/>
      <c r="X72" s="348"/>
    </row>
    <row r="73" spans="1:24" ht="56.25" customHeight="1">
      <c r="A73" s="276"/>
      <c r="B73" s="276"/>
      <c r="C73" s="260" t="s">
        <v>72</v>
      </c>
      <c r="D73" s="260"/>
      <c r="E73" s="260"/>
      <c r="F73" s="260"/>
      <c r="G73" s="260"/>
      <c r="H73" s="260"/>
      <c r="I73" s="260"/>
      <c r="J73" s="43">
        <v>2</v>
      </c>
      <c r="K73" s="43"/>
      <c r="L73" s="43"/>
      <c r="M73" s="43"/>
      <c r="N73" s="43"/>
      <c r="O73" s="43"/>
      <c r="P73" s="43"/>
      <c r="Q73" s="44" t="s">
        <v>73</v>
      </c>
      <c r="R73" s="88">
        <v>1</v>
      </c>
      <c r="S73" s="63" t="str">
        <f>IF(ISERROR(J73*L73/(L73+M73/2+N73/2)),"",J73*L73/(L73+M73/2+N73/2))</f>
        <v/>
      </c>
      <c r="T73" s="63" t="str">
        <f>IF(ISERROR(J73*M73/2/(L73+M73/2+N73/2)),"",J73*M73/2/(L73+M73/2+N73/2))</f>
        <v/>
      </c>
      <c r="U73" s="63" t="str">
        <f>IF(ISERROR(J73*N73/2/(L73+M73/2+N73/2)),"",J73*N73/2/(L73+M73/2+N73/2))</f>
        <v/>
      </c>
      <c r="V73" s="64" t="str">
        <f>IF(O73="√",1,"")</f>
        <v/>
      </c>
      <c r="W73" s="65"/>
      <c r="X73" s="65"/>
    </row>
    <row r="74" spans="1:24" ht="30" customHeight="1">
      <c r="A74" s="276"/>
      <c r="B74" s="276"/>
      <c r="C74" s="264" t="s">
        <v>372</v>
      </c>
      <c r="D74" s="264"/>
      <c r="E74" s="264"/>
      <c r="F74" s="264"/>
      <c r="G74" s="264"/>
      <c r="H74" s="264"/>
      <c r="I74" s="264"/>
      <c r="J74" s="46">
        <v>3</v>
      </c>
      <c r="K74" s="46">
        <v>48</v>
      </c>
      <c r="L74" s="46">
        <v>32</v>
      </c>
      <c r="M74" s="46">
        <v>16</v>
      </c>
      <c r="N74" s="46"/>
      <c r="O74" s="48" t="s">
        <v>50</v>
      </c>
      <c r="P74" s="46"/>
      <c r="Q74" s="114"/>
      <c r="R74" s="115">
        <v>3</v>
      </c>
      <c r="S74" s="71">
        <f>IF(ISERROR(J74*L74/(L74+M74/2+N74/2)),"",J74*L74/(L74+M74/2+N74/2))</f>
        <v>2.4</v>
      </c>
      <c r="T74" s="71">
        <f>IF(ISERROR(J74*M74/2/(L74+M74/2+N74/2)),"",J74*M74/2/(L74+M74/2+N74/2))</f>
        <v>0.6</v>
      </c>
      <c r="U74" s="71">
        <f>IF(ISERROR(J74*N74/2/(L74+M74/2+N74/2)),"",J74*N74/2/(L74+M74/2+N74/2))</f>
        <v>0</v>
      </c>
      <c r="V74" s="72">
        <f>IF(O74="√",1,"")</f>
        <v>1</v>
      </c>
      <c r="W74" s="73"/>
      <c r="X74" s="74" t="str">
        <f>IF(J74="","",IF(K74="","学时没填，影响学分统计！",""))</f>
        <v/>
      </c>
    </row>
    <row r="75" spans="1:24" ht="30" customHeight="1">
      <c r="A75" s="276"/>
      <c r="B75" s="276"/>
      <c r="C75" s="264" t="s">
        <v>373</v>
      </c>
      <c r="D75" s="264"/>
      <c r="E75" s="264"/>
      <c r="F75" s="264"/>
      <c r="G75" s="264"/>
      <c r="H75" s="264"/>
      <c r="I75" s="264"/>
      <c r="J75" s="46">
        <v>2</v>
      </c>
      <c r="K75" s="46">
        <v>32</v>
      </c>
      <c r="L75" s="46">
        <v>32</v>
      </c>
      <c r="M75" s="46"/>
      <c r="N75" s="46"/>
      <c r="O75" s="46"/>
      <c r="P75" s="46"/>
      <c r="Q75" s="114"/>
      <c r="R75" s="115"/>
      <c r="S75" s="71">
        <f>IF(ISERROR(J75*L75/(L75+M75/2+N75/2)),"",J75*L75/(L75+M75/2+N75/2))</f>
        <v>2</v>
      </c>
      <c r="T75" s="71">
        <f>IF(ISERROR(J75*M75/2/(L75+M75/2+N75/2)),"",J75*M75/2/(L75+M75/2+N75/2))</f>
        <v>0</v>
      </c>
      <c r="U75" s="71">
        <f>IF(ISERROR(J75*N75/2/(L75+M75/2+N75/2)),"",J75*N75/2/(L75+M75/2+N75/2))</f>
        <v>0</v>
      </c>
      <c r="V75" s="72" t="str">
        <f>IF(O75="√",1,"")</f>
        <v/>
      </c>
      <c r="W75" s="73"/>
      <c r="X75" s="74" t="str">
        <f>IF(J75="","",IF(K75="","学时没填，影响学分统计！",""))</f>
        <v/>
      </c>
    </row>
    <row r="76" spans="1:24" ht="30" customHeight="1">
      <c r="A76" s="276"/>
      <c r="B76" s="276"/>
      <c r="C76" s="264" t="s">
        <v>374</v>
      </c>
      <c r="D76" s="264"/>
      <c r="E76" s="264"/>
      <c r="F76" s="264"/>
      <c r="G76" s="264"/>
      <c r="H76" s="264"/>
      <c r="I76" s="264"/>
      <c r="J76" s="46">
        <v>3</v>
      </c>
      <c r="K76" s="46">
        <v>48</v>
      </c>
      <c r="L76" s="46">
        <v>48</v>
      </c>
      <c r="M76" s="46"/>
      <c r="N76" s="46"/>
      <c r="O76" s="46"/>
      <c r="P76" s="46"/>
      <c r="Q76" s="114"/>
      <c r="R76" s="115"/>
      <c r="S76" s="75">
        <f>IF(ISERROR(J76*L76/(L76+M76/2+N76/2)),"",J76*L76/(L76+M76/2+N76/2))</f>
        <v>3</v>
      </c>
      <c r="T76" s="75">
        <f>IF(ISERROR(J76*M76/2/(L76+M76/2+N76/2)),"",J76*M76/2/(L76+M76/2+N76/2))</f>
        <v>0</v>
      </c>
      <c r="U76" s="75">
        <f>IF(ISERROR(J76*N76/2/(L76+M76/2+N76/2)),"",J76*N76/2/(L76+M76/2+N76/2))</f>
        <v>0</v>
      </c>
      <c r="V76" s="76" t="str">
        <f>IF(O76="√",1,"")</f>
        <v/>
      </c>
      <c r="W76" s="77"/>
      <c r="X76" s="78" t="str">
        <f>IF(J76="","",IF(K76="","学时没填，影响学分统计！",""))</f>
        <v/>
      </c>
    </row>
    <row r="77" spans="1:24" ht="39.75" customHeight="1">
      <c r="A77" s="262" t="s">
        <v>61</v>
      </c>
      <c r="B77" s="262"/>
      <c r="C77" s="270" t="s">
        <v>74</v>
      </c>
      <c r="D77" s="270"/>
      <c r="E77" s="270"/>
      <c r="F77" s="270"/>
      <c r="G77" s="270"/>
      <c r="H77" s="270"/>
      <c r="I77" s="270"/>
      <c r="J77" s="95">
        <v>5</v>
      </c>
      <c r="K77" s="52"/>
      <c r="L77" s="52"/>
      <c r="M77" s="52"/>
      <c r="N77" s="52"/>
      <c r="O77" s="35">
        <f>COUNTIF(O73:O76,"√")</f>
        <v>1</v>
      </c>
      <c r="P77" s="53"/>
      <c r="Q77" s="52"/>
      <c r="R77" s="79"/>
      <c r="S77" s="79"/>
      <c r="T77" s="79"/>
      <c r="U77" s="79"/>
      <c r="V77" s="79"/>
      <c r="W77" s="79"/>
      <c r="X77" s="65" t="str">
        <f>IF(SUMIF(R73:R76,"&gt;0",J73:J76)=J77,"计划与实际选修学分一致！",IF(SUMIF(R73:R76,"&gt;0",J73:J76)&gt;J77,"实际比计划选修多"&amp;SUMIF(R73:R76,"&gt;0",J73:J76)-J77&amp;"学分!","选修缺"&amp;J77-SUMIF(R73:R76,"&gt;0",J73:J76)&amp;"学分!"))</f>
        <v>计划与实际选修学分一致！</v>
      </c>
    </row>
    <row r="78" spans="1:24" ht="21.95" customHeight="1">
      <c r="A78" s="360" t="str">
        <f>"    （三）学科基础课程平台（"&amp;J109+J114+SUMIF(R118:R121,"&lt;=10",J118:J121)&amp;"学分）"</f>
        <v xml:space="preserve">    （三）学科基础课程平台（96学分）</v>
      </c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90"/>
      <c r="S78" s="90"/>
      <c r="T78" s="90"/>
      <c r="U78" s="90"/>
      <c r="V78" s="90"/>
      <c r="W78" s="90"/>
      <c r="X78" s="59"/>
    </row>
    <row r="79" spans="1:24" ht="21.95" customHeight="1">
      <c r="A79" s="360" t="str">
        <f>"    1.必修课（"&amp;J109+J114&amp;"）学分"</f>
        <v xml:space="preserve">    1.必修课（89.5）学分</v>
      </c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60"/>
      <c r="S79" s="60"/>
      <c r="T79" s="60"/>
      <c r="U79" s="60"/>
      <c r="V79" s="60"/>
      <c r="W79" s="60"/>
      <c r="X79" s="59"/>
    </row>
    <row r="80" spans="1:24" ht="18.75" customHeight="1">
      <c r="A80" s="261" t="s">
        <v>27</v>
      </c>
      <c r="B80" s="261"/>
      <c r="C80" s="261" t="s">
        <v>28</v>
      </c>
      <c r="D80" s="261"/>
      <c r="E80" s="261"/>
      <c r="F80" s="261"/>
      <c r="G80" s="261"/>
      <c r="H80" s="261"/>
      <c r="I80" s="261"/>
      <c r="J80" s="261" t="s">
        <v>29</v>
      </c>
      <c r="K80" s="262" t="s">
        <v>30</v>
      </c>
      <c r="L80" s="262"/>
      <c r="M80" s="262"/>
      <c r="N80" s="262"/>
      <c r="O80" s="261" t="s">
        <v>31</v>
      </c>
      <c r="P80" s="342" t="s">
        <v>32</v>
      </c>
      <c r="Q80" s="261" t="s">
        <v>33</v>
      </c>
      <c r="R80" s="346" t="s">
        <v>34</v>
      </c>
      <c r="S80" s="348" t="s">
        <v>35</v>
      </c>
      <c r="T80" s="348" t="s">
        <v>36</v>
      </c>
      <c r="U80" s="348" t="s">
        <v>37</v>
      </c>
      <c r="V80" s="348" t="s">
        <v>38</v>
      </c>
      <c r="W80" s="348" t="s">
        <v>39</v>
      </c>
      <c r="X80" s="348" t="s">
        <v>40</v>
      </c>
    </row>
    <row r="81" spans="1:24" ht="30" customHeight="1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34" t="s">
        <v>41</v>
      </c>
      <c r="L81" s="34" t="s">
        <v>42</v>
      </c>
      <c r="M81" s="34" t="s">
        <v>43</v>
      </c>
      <c r="N81" s="34" t="s">
        <v>44</v>
      </c>
      <c r="O81" s="261"/>
      <c r="P81" s="342"/>
      <c r="Q81" s="261"/>
      <c r="R81" s="346"/>
      <c r="S81" s="348"/>
      <c r="T81" s="348"/>
      <c r="U81" s="348"/>
      <c r="V81" s="348"/>
      <c r="W81" s="348"/>
      <c r="X81" s="348"/>
    </row>
    <row r="82" spans="1:24" ht="30" customHeight="1">
      <c r="A82" s="276"/>
      <c r="B82" s="276"/>
      <c r="C82" s="364" t="s">
        <v>375</v>
      </c>
      <c r="D82" s="365"/>
      <c r="E82" s="365"/>
      <c r="F82" s="365"/>
      <c r="G82" s="365"/>
      <c r="H82" s="365"/>
      <c r="I82" s="366"/>
      <c r="J82" s="96">
        <v>3</v>
      </c>
      <c r="K82" s="96">
        <v>64</v>
      </c>
      <c r="L82" s="96">
        <v>32</v>
      </c>
      <c r="M82" s="96">
        <v>32</v>
      </c>
      <c r="N82" s="96"/>
      <c r="O82" s="96" t="s">
        <v>50</v>
      </c>
      <c r="P82" s="97">
        <v>1</v>
      </c>
      <c r="Q82" s="116"/>
      <c r="R82" s="62"/>
      <c r="S82" s="71">
        <f t="shared" ref="S82:S108" si="10">IF(ISERROR(J82*L82/(L82+M82/2+N82/2)),"",J82*L82/(L82+M82/2+N82/2))</f>
        <v>2</v>
      </c>
      <c r="T82" s="71">
        <f t="shared" ref="T82:T108" si="11">IF(ISERROR(J82*M82/2/(L82+M82/2+N82/2)),"",J82*M82/2/(L82+M82/2+N82/2))</f>
        <v>1</v>
      </c>
      <c r="U82" s="71">
        <f t="shared" ref="U82:U108" si="12">IF(ISERROR(J82*N82/2/(L82+M82/2+N82/2)),"",J82*N82/2/(L82+M82/2+N82/2))</f>
        <v>0</v>
      </c>
      <c r="V82" s="72">
        <f t="shared" ref="V82:V108" si="13">IF(O82="√",1,"")</f>
        <v>1</v>
      </c>
      <c r="W82" s="73"/>
      <c r="X82" s="74" t="str">
        <f t="shared" ref="X82:X108" si="14">IF(ISERROR(IF(K82&lt;&gt;L82+M82+N82,"学时计算有误！","")&amp;IF(P82="","请填写修读学期！","")&amp;IF(P82&gt;10,"超出修读期限！","")&amp;IF(J82&lt;&gt;S82+T82+U82,"学分计算有误！","")),"",IF(K82&lt;&gt;L82+M82+N82,"学时计算有误！","")&amp;IF(P82="","请填写修读学期！","")&amp;IF(P82&gt;10,"超出修读期限！","")&amp;IF(J82&lt;&gt;S82+T82+U82,"学分计算有误！",""))</f>
        <v/>
      </c>
    </row>
    <row r="83" spans="1:24" ht="34.5" customHeight="1">
      <c r="A83" s="276"/>
      <c r="B83" s="276"/>
      <c r="C83" s="293" t="s">
        <v>76</v>
      </c>
      <c r="D83" s="293" t="s">
        <v>76</v>
      </c>
      <c r="E83" s="293" t="s">
        <v>76</v>
      </c>
      <c r="F83" s="293" t="s">
        <v>76</v>
      </c>
      <c r="G83" s="293" t="s">
        <v>76</v>
      </c>
      <c r="H83" s="293" t="s">
        <v>76</v>
      </c>
      <c r="I83" s="293" t="s">
        <v>76</v>
      </c>
      <c r="J83" s="98">
        <v>2</v>
      </c>
      <c r="K83" s="98">
        <v>48</v>
      </c>
      <c r="L83" s="98">
        <v>24</v>
      </c>
      <c r="M83" s="98">
        <v>24</v>
      </c>
      <c r="N83" s="98"/>
      <c r="O83" s="98" t="s">
        <v>50</v>
      </c>
      <c r="P83" s="97">
        <v>1</v>
      </c>
      <c r="Q83" s="117"/>
      <c r="R83" s="62"/>
      <c r="S83" s="71">
        <f t="shared" si="10"/>
        <v>1.3333333333333333</v>
      </c>
      <c r="T83" s="71">
        <f t="shared" si="11"/>
        <v>0.66666666666666663</v>
      </c>
      <c r="U83" s="71">
        <f t="shared" si="12"/>
        <v>0</v>
      </c>
      <c r="V83" s="72">
        <f t="shared" si="13"/>
        <v>1</v>
      </c>
      <c r="W83" s="73"/>
      <c r="X83" s="74" t="str">
        <f t="shared" si="14"/>
        <v/>
      </c>
    </row>
    <row r="84" spans="1:24" ht="41.25" customHeight="1">
      <c r="A84" s="276"/>
      <c r="B84" s="276"/>
      <c r="C84" s="293" t="s">
        <v>376</v>
      </c>
      <c r="D84" s="293" t="s">
        <v>376</v>
      </c>
      <c r="E84" s="293" t="s">
        <v>376</v>
      </c>
      <c r="F84" s="293" t="s">
        <v>376</v>
      </c>
      <c r="G84" s="293" t="s">
        <v>376</v>
      </c>
      <c r="H84" s="293" t="s">
        <v>376</v>
      </c>
      <c r="I84" s="293" t="s">
        <v>376</v>
      </c>
      <c r="J84" s="99">
        <v>3.5</v>
      </c>
      <c r="K84" s="99">
        <v>72</v>
      </c>
      <c r="L84" s="98">
        <v>40</v>
      </c>
      <c r="M84" s="98">
        <v>32</v>
      </c>
      <c r="N84" s="99"/>
      <c r="O84" s="98" t="s">
        <v>50</v>
      </c>
      <c r="P84" s="97">
        <v>2</v>
      </c>
      <c r="Q84" s="117"/>
      <c r="R84" s="62"/>
      <c r="S84" s="71">
        <f t="shared" si="10"/>
        <v>2.5</v>
      </c>
      <c r="T84" s="71">
        <f t="shared" si="11"/>
        <v>1</v>
      </c>
      <c r="U84" s="71">
        <f t="shared" si="12"/>
        <v>0</v>
      </c>
      <c r="V84" s="72">
        <f t="shared" si="13"/>
        <v>1</v>
      </c>
      <c r="W84" s="73"/>
      <c r="X84" s="74" t="str">
        <f t="shared" si="14"/>
        <v/>
      </c>
    </row>
    <row r="85" spans="1:24" ht="42" customHeight="1">
      <c r="A85" s="276"/>
      <c r="B85" s="276"/>
      <c r="C85" s="293" t="s">
        <v>377</v>
      </c>
      <c r="D85" s="293" t="s">
        <v>377</v>
      </c>
      <c r="E85" s="293" t="s">
        <v>377</v>
      </c>
      <c r="F85" s="293" t="s">
        <v>377</v>
      </c>
      <c r="G85" s="293" t="s">
        <v>377</v>
      </c>
      <c r="H85" s="293" t="s">
        <v>377</v>
      </c>
      <c r="I85" s="293" t="s">
        <v>377</v>
      </c>
      <c r="J85" s="99">
        <v>4</v>
      </c>
      <c r="K85" s="99">
        <v>80</v>
      </c>
      <c r="L85" s="98">
        <v>48</v>
      </c>
      <c r="M85" s="98">
        <v>32</v>
      </c>
      <c r="N85" s="99"/>
      <c r="O85" s="98" t="s">
        <v>50</v>
      </c>
      <c r="P85" s="97">
        <v>2</v>
      </c>
      <c r="Q85" s="117"/>
      <c r="R85" s="62"/>
      <c r="S85" s="71">
        <f t="shared" si="10"/>
        <v>3</v>
      </c>
      <c r="T85" s="71">
        <f t="shared" si="11"/>
        <v>1</v>
      </c>
      <c r="U85" s="71">
        <f t="shared" si="12"/>
        <v>0</v>
      </c>
      <c r="V85" s="72">
        <f t="shared" si="13"/>
        <v>1</v>
      </c>
      <c r="W85" s="73"/>
      <c r="X85" s="74" t="str">
        <f t="shared" si="14"/>
        <v/>
      </c>
    </row>
    <row r="86" spans="1:24" ht="41.25" customHeight="1">
      <c r="A86" s="276"/>
      <c r="B86" s="276"/>
      <c r="C86" s="293" t="s">
        <v>378</v>
      </c>
      <c r="D86" s="293" t="s">
        <v>378</v>
      </c>
      <c r="E86" s="293" t="s">
        <v>378</v>
      </c>
      <c r="F86" s="293" t="s">
        <v>378</v>
      </c>
      <c r="G86" s="293" t="s">
        <v>378</v>
      </c>
      <c r="H86" s="293" t="s">
        <v>378</v>
      </c>
      <c r="I86" s="293" t="s">
        <v>378</v>
      </c>
      <c r="J86" s="99">
        <v>3.5</v>
      </c>
      <c r="K86" s="99">
        <v>72</v>
      </c>
      <c r="L86" s="98">
        <v>40</v>
      </c>
      <c r="M86" s="98">
        <v>32</v>
      </c>
      <c r="N86" s="99"/>
      <c r="O86" s="98" t="s">
        <v>50</v>
      </c>
      <c r="P86" s="97">
        <v>2</v>
      </c>
      <c r="Q86" s="117"/>
      <c r="R86" s="62"/>
      <c r="S86" s="71">
        <f t="shared" si="10"/>
        <v>2.5</v>
      </c>
      <c r="T86" s="71">
        <f t="shared" si="11"/>
        <v>1</v>
      </c>
      <c r="U86" s="71">
        <f t="shared" si="12"/>
        <v>0</v>
      </c>
      <c r="V86" s="72">
        <f t="shared" si="13"/>
        <v>1</v>
      </c>
      <c r="W86" s="73"/>
      <c r="X86" s="74" t="str">
        <f t="shared" si="14"/>
        <v/>
      </c>
    </row>
    <row r="87" spans="1:24" ht="35.25" customHeight="1">
      <c r="A87" s="276"/>
      <c r="B87" s="276"/>
      <c r="C87" s="293" t="s">
        <v>379</v>
      </c>
      <c r="D87" s="293" t="s">
        <v>379</v>
      </c>
      <c r="E87" s="293" t="s">
        <v>379</v>
      </c>
      <c r="F87" s="293" t="s">
        <v>379</v>
      </c>
      <c r="G87" s="293" t="s">
        <v>379</v>
      </c>
      <c r="H87" s="293" t="s">
        <v>379</v>
      </c>
      <c r="I87" s="293" t="s">
        <v>379</v>
      </c>
      <c r="J87" s="100">
        <v>3.5</v>
      </c>
      <c r="K87" s="100">
        <v>72</v>
      </c>
      <c r="L87" s="98">
        <v>40</v>
      </c>
      <c r="M87" s="98">
        <v>32</v>
      </c>
      <c r="N87" s="99"/>
      <c r="O87" s="98" t="s">
        <v>50</v>
      </c>
      <c r="P87" s="97">
        <v>2</v>
      </c>
      <c r="Q87" s="117"/>
      <c r="R87" s="62"/>
      <c r="S87" s="71">
        <f t="shared" si="10"/>
        <v>2.5</v>
      </c>
      <c r="T87" s="71">
        <f t="shared" si="11"/>
        <v>1</v>
      </c>
      <c r="U87" s="71">
        <f t="shared" si="12"/>
        <v>0</v>
      </c>
      <c r="V87" s="72">
        <f t="shared" si="13"/>
        <v>1</v>
      </c>
      <c r="W87" s="73"/>
      <c r="X87" s="74" t="str">
        <f t="shared" si="14"/>
        <v/>
      </c>
    </row>
    <row r="88" spans="1:24" ht="41.25" customHeight="1">
      <c r="A88" s="276"/>
      <c r="B88" s="276"/>
      <c r="C88" s="293" t="s">
        <v>380</v>
      </c>
      <c r="D88" s="293" t="s">
        <v>380</v>
      </c>
      <c r="E88" s="293" t="s">
        <v>380</v>
      </c>
      <c r="F88" s="293" t="s">
        <v>380</v>
      </c>
      <c r="G88" s="293" t="s">
        <v>380</v>
      </c>
      <c r="H88" s="293" t="s">
        <v>380</v>
      </c>
      <c r="I88" s="293" t="s">
        <v>380</v>
      </c>
      <c r="J88" s="100">
        <v>3.5</v>
      </c>
      <c r="K88" s="100">
        <v>72</v>
      </c>
      <c r="L88" s="98">
        <v>40</v>
      </c>
      <c r="M88" s="98">
        <v>32</v>
      </c>
      <c r="N88" s="101"/>
      <c r="O88" s="98" t="s">
        <v>50</v>
      </c>
      <c r="P88" s="102">
        <v>2</v>
      </c>
      <c r="Q88" s="117"/>
      <c r="R88" s="62"/>
      <c r="S88" s="71">
        <f t="shared" si="10"/>
        <v>2.5</v>
      </c>
      <c r="T88" s="71">
        <f t="shared" si="11"/>
        <v>1</v>
      </c>
      <c r="U88" s="71">
        <f t="shared" si="12"/>
        <v>0</v>
      </c>
      <c r="V88" s="72">
        <f t="shared" si="13"/>
        <v>1</v>
      </c>
      <c r="W88" s="73"/>
      <c r="X88" s="74" t="str">
        <f t="shared" si="14"/>
        <v/>
      </c>
    </row>
    <row r="89" spans="1:24" ht="30" customHeight="1">
      <c r="A89" s="276"/>
      <c r="B89" s="276"/>
      <c r="C89" s="293" t="s">
        <v>381</v>
      </c>
      <c r="D89" s="293" t="s">
        <v>381</v>
      </c>
      <c r="E89" s="293" t="s">
        <v>381</v>
      </c>
      <c r="F89" s="293" t="s">
        <v>381</v>
      </c>
      <c r="G89" s="293" t="s">
        <v>381</v>
      </c>
      <c r="H89" s="293" t="s">
        <v>381</v>
      </c>
      <c r="I89" s="293" t="s">
        <v>381</v>
      </c>
      <c r="J89" s="99">
        <v>6</v>
      </c>
      <c r="K89" s="99">
        <v>96</v>
      </c>
      <c r="L89" s="99">
        <v>96</v>
      </c>
      <c r="M89" s="99"/>
      <c r="N89" s="99"/>
      <c r="O89" s="98" t="s">
        <v>50</v>
      </c>
      <c r="P89" s="103">
        <v>1</v>
      </c>
      <c r="Q89" s="104"/>
      <c r="R89" s="62"/>
      <c r="S89" s="71">
        <f t="shared" si="10"/>
        <v>6</v>
      </c>
      <c r="T89" s="71">
        <f t="shared" si="11"/>
        <v>0</v>
      </c>
      <c r="U89" s="71">
        <f t="shared" si="12"/>
        <v>0</v>
      </c>
      <c r="V89" s="72">
        <f t="shared" si="13"/>
        <v>1</v>
      </c>
      <c r="W89" s="73"/>
      <c r="X89" s="74" t="str">
        <f>IF(ISERROR(IF(K89&lt;&gt;L89+M89+N89,"学时计算有误！","")&amp;IF(P89="","请填写修读学期！","")&amp;IF(P89&gt;10,"超出修读期限！","")&amp;IF(J89&lt;&gt;S89+T89+U89,"学分计算有误！","")),"",IF(K89&lt;&gt;L89+M89+N89,"学时计算有误！","")&amp;IF(P89="","请填写修读学期！","")&amp;IF(P89&gt;10,"超出修读期限！","")&amp;IF(J89&lt;&gt;S89+T89+U89,"学分计算有误！",""))&amp;IF(K89="","请填入学时！","")</f>
        <v/>
      </c>
    </row>
    <row r="90" spans="1:24" ht="32.25" customHeight="1">
      <c r="A90" s="276"/>
      <c r="B90" s="276"/>
      <c r="C90" s="293" t="s">
        <v>382</v>
      </c>
      <c r="D90" s="293" t="s">
        <v>382</v>
      </c>
      <c r="E90" s="293" t="s">
        <v>382</v>
      </c>
      <c r="F90" s="293" t="s">
        <v>382</v>
      </c>
      <c r="G90" s="293" t="s">
        <v>382</v>
      </c>
      <c r="H90" s="293" t="s">
        <v>382</v>
      </c>
      <c r="I90" s="293" t="s">
        <v>382</v>
      </c>
      <c r="J90" s="99">
        <v>5</v>
      </c>
      <c r="K90" s="99">
        <v>80</v>
      </c>
      <c r="L90" s="99">
        <v>80</v>
      </c>
      <c r="M90" s="99"/>
      <c r="N90" s="99"/>
      <c r="O90" s="98" t="s">
        <v>50</v>
      </c>
      <c r="P90" s="103">
        <v>2</v>
      </c>
      <c r="Q90" s="104"/>
      <c r="R90" s="62"/>
      <c r="S90" s="71">
        <f t="shared" si="10"/>
        <v>5</v>
      </c>
      <c r="T90" s="71">
        <f t="shared" si="11"/>
        <v>0</v>
      </c>
      <c r="U90" s="71">
        <f t="shared" si="12"/>
        <v>0</v>
      </c>
      <c r="V90" s="72">
        <f t="shared" si="13"/>
        <v>1</v>
      </c>
      <c r="W90" s="73"/>
      <c r="X90" s="74" t="str">
        <f>IF(ISERROR(IF(K90&lt;&gt;L90+M90+N90,"学时计算有误！","")&amp;IF(P90="","请填写修读学期！","")&amp;IF(P90&gt;10,"超出修读期限！","")&amp;IF(J90&lt;&gt;S90+T90+U90,"学分计算有误！","")),"",IF(K90&lt;&gt;L90+M90+N90,"学时计算有误！","")&amp;IF(P90="","请填写修读学期！","")&amp;IF(P90&gt;10,"超出修读期限！","")&amp;IF(J90&lt;&gt;S90+T90+U90,"学分计算有误！",""))&amp;IF(K90="","请填入学时！","")</f>
        <v/>
      </c>
    </row>
    <row r="91" spans="1:24" ht="27.75" customHeight="1">
      <c r="A91" s="276"/>
      <c r="B91" s="276"/>
      <c r="C91" s="293" t="s">
        <v>383</v>
      </c>
      <c r="D91" s="293" t="s">
        <v>383</v>
      </c>
      <c r="E91" s="293" t="s">
        <v>383</v>
      </c>
      <c r="F91" s="293" t="s">
        <v>383</v>
      </c>
      <c r="G91" s="293" t="s">
        <v>383</v>
      </c>
      <c r="H91" s="293" t="s">
        <v>383</v>
      </c>
      <c r="I91" s="293" t="s">
        <v>383</v>
      </c>
      <c r="J91" s="99">
        <v>4</v>
      </c>
      <c r="K91" s="99">
        <v>64</v>
      </c>
      <c r="L91" s="99">
        <v>64</v>
      </c>
      <c r="M91" s="99"/>
      <c r="N91" s="99"/>
      <c r="O91" s="98" t="s">
        <v>50</v>
      </c>
      <c r="P91" s="103">
        <v>1</v>
      </c>
      <c r="Q91" s="104"/>
      <c r="R91" s="62"/>
      <c r="S91" s="71">
        <f t="shared" si="10"/>
        <v>4</v>
      </c>
      <c r="T91" s="71">
        <f t="shared" si="11"/>
        <v>0</v>
      </c>
      <c r="U91" s="71">
        <f t="shared" si="12"/>
        <v>0</v>
      </c>
      <c r="V91" s="72">
        <f t="shared" si="13"/>
        <v>1</v>
      </c>
      <c r="W91" s="73"/>
      <c r="X91" s="74" t="str">
        <f>IF(ISERROR(IF(K91&lt;&gt;L91+M91+N91,"学时计算有误！","")&amp;IF(P91="","请填写修读学期！","")&amp;IF(P91&gt;10,"超出修读期限！","")&amp;IF(J91&lt;&gt;S91+T91+U91,"学分计算有误！","")),"",IF(K91&lt;&gt;L91+M91+N91,"学时计算有误！","")&amp;IF(P91="","请填写修读学期！","")&amp;IF(P91&gt;10,"超出修读期限！","")&amp;IF(J91&lt;&gt;S91+T91+U91,"学分计算有误！",""))&amp;IF(K91="","请填入学时！","")</f>
        <v/>
      </c>
    </row>
    <row r="92" spans="1:24" ht="31.5" customHeight="1">
      <c r="A92" s="276"/>
      <c r="B92" s="276"/>
      <c r="C92" s="293" t="s">
        <v>384</v>
      </c>
      <c r="D92" s="293" t="s">
        <v>384</v>
      </c>
      <c r="E92" s="293" t="s">
        <v>384</v>
      </c>
      <c r="F92" s="293" t="s">
        <v>384</v>
      </c>
      <c r="G92" s="293" t="s">
        <v>384</v>
      </c>
      <c r="H92" s="293" t="s">
        <v>384</v>
      </c>
      <c r="I92" s="293" t="s">
        <v>384</v>
      </c>
      <c r="J92" s="99">
        <v>3</v>
      </c>
      <c r="K92" s="99">
        <v>48</v>
      </c>
      <c r="L92" s="99">
        <v>48</v>
      </c>
      <c r="M92" s="99"/>
      <c r="N92" s="99"/>
      <c r="O92" s="98" t="s">
        <v>50</v>
      </c>
      <c r="P92" s="103">
        <v>2</v>
      </c>
      <c r="Q92" s="104"/>
      <c r="R92" s="62"/>
      <c r="S92" s="71">
        <f t="shared" si="10"/>
        <v>3</v>
      </c>
      <c r="T92" s="71">
        <f t="shared" si="11"/>
        <v>0</v>
      </c>
      <c r="U92" s="71">
        <f t="shared" si="12"/>
        <v>0</v>
      </c>
      <c r="V92" s="72">
        <f t="shared" si="13"/>
        <v>1</v>
      </c>
      <c r="W92" s="73"/>
      <c r="X92" s="74" t="str">
        <f>IF(ISERROR(IF(K92&lt;&gt;L92+M92+N92,"学时计算有误！","")&amp;IF(P92="","请填写修读学期！","")&amp;IF(P92&gt;10,"超出修读期限！","")&amp;IF(J92&lt;&gt;S92+T92+U92,"学分计算有误！","")),"",IF(K92&lt;&gt;L92+M92+N92,"学时计算有误！","")&amp;IF(P92="","请填写修读学期！","")&amp;IF(P92&gt;10,"超出修读期限！","")&amp;IF(J92&lt;&gt;S92+T92+U92,"学分计算有误！",""))&amp;IF(K92="","请填入学时！","")</f>
        <v/>
      </c>
    </row>
    <row r="93" spans="1:24" ht="30" customHeight="1">
      <c r="A93" s="276"/>
      <c r="B93" s="276"/>
      <c r="C93" s="293" t="s">
        <v>385</v>
      </c>
      <c r="D93" s="293" t="s">
        <v>385</v>
      </c>
      <c r="E93" s="293" t="s">
        <v>385</v>
      </c>
      <c r="F93" s="293" t="s">
        <v>385</v>
      </c>
      <c r="G93" s="293" t="s">
        <v>385</v>
      </c>
      <c r="H93" s="293" t="s">
        <v>385</v>
      </c>
      <c r="I93" s="293" t="s">
        <v>385</v>
      </c>
      <c r="J93" s="99">
        <v>4</v>
      </c>
      <c r="K93" s="99">
        <v>64</v>
      </c>
      <c r="L93" s="99">
        <v>64</v>
      </c>
      <c r="M93" s="99"/>
      <c r="N93" s="99"/>
      <c r="O93" s="98" t="s">
        <v>50</v>
      </c>
      <c r="P93" s="103">
        <v>1</v>
      </c>
      <c r="Q93" s="104"/>
      <c r="R93" s="62"/>
      <c r="S93" s="71">
        <f t="shared" si="10"/>
        <v>4</v>
      </c>
      <c r="T93" s="71">
        <f t="shared" si="11"/>
        <v>0</v>
      </c>
      <c r="U93" s="71">
        <f t="shared" si="12"/>
        <v>0</v>
      </c>
      <c r="V93" s="72">
        <f t="shared" si="13"/>
        <v>1</v>
      </c>
      <c r="W93" s="73"/>
      <c r="X93" s="74" t="str">
        <f>IF(ISERROR(IF(K93&lt;&gt;L93+M93+N93,"学时计算有误！","")&amp;IF(P93="","请填写修读学期！","")&amp;IF(P93&gt;10,"超出修读期限！","")&amp;IF(J93&lt;&gt;S93+T93+U93,"学分计算有误！","")),"",IF(K93&lt;&gt;L93+M93+N93,"学时计算有误！","")&amp;IF(P93="","请填写修读学期！","")&amp;IF(P93&gt;10,"超出修读期限！","")&amp;IF(J93&lt;&gt;S93+T93+U93,"学分计算有误！",""))&amp;IF(K93="","请填入学时！","")</f>
        <v/>
      </c>
    </row>
    <row r="94" spans="1:24" ht="33" customHeight="1">
      <c r="A94" s="276"/>
      <c r="B94" s="276"/>
      <c r="C94" s="293" t="s">
        <v>386</v>
      </c>
      <c r="D94" s="293" t="s">
        <v>386</v>
      </c>
      <c r="E94" s="293" t="s">
        <v>386</v>
      </c>
      <c r="F94" s="293" t="s">
        <v>386</v>
      </c>
      <c r="G94" s="293" t="s">
        <v>386</v>
      </c>
      <c r="H94" s="293" t="s">
        <v>386</v>
      </c>
      <c r="I94" s="293" t="s">
        <v>386</v>
      </c>
      <c r="J94" s="99">
        <v>4</v>
      </c>
      <c r="K94" s="99">
        <v>64</v>
      </c>
      <c r="L94" s="99">
        <v>64</v>
      </c>
      <c r="M94" s="99"/>
      <c r="N94" s="99"/>
      <c r="O94" s="98" t="s">
        <v>50</v>
      </c>
      <c r="P94" s="97"/>
      <c r="Q94" s="104" t="s">
        <v>387</v>
      </c>
      <c r="R94" s="62"/>
      <c r="S94" s="71">
        <f t="shared" si="10"/>
        <v>4</v>
      </c>
      <c r="T94" s="71">
        <f t="shared" si="11"/>
        <v>0</v>
      </c>
      <c r="U94" s="71">
        <f t="shared" si="12"/>
        <v>0</v>
      </c>
      <c r="V94" s="72">
        <f t="shared" si="13"/>
        <v>1</v>
      </c>
      <c r="W94" s="73"/>
      <c r="X94" s="74" t="str">
        <f t="shared" si="14"/>
        <v>请填写修读学期！</v>
      </c>
    </row>
    <row r="95" spans="1:24" ht="32.25" customHeight="1">
      <c r="A95" s="276"/>
      <c r="B95" s="276"/>
      <c r="C95" s="293" t="s">
        <v>388</v>
      </c>
      <c r="D95" s="293" t="s">
        <v>388</v>
      </c>
      <c r="E95" s="293" t="s">
        <v>388</v>
      </c>
      <c r="F95" s="293" t="s">
        <v>388</v>
      </c>
      <c r="G95" s="293" t="s">
        <v>388</v>
      </c>
      <c r="H95" s="293" t="s">
        <v>388</v>
      </c>
      <c r="I95" s="293" t="s">
        <v>388</v>
      </c>
      <c r="J95" s="99">
        <v>3</v>
      </c>
      <c r="K95" s="99">
        <v>48</v>
      </c>
      <c r="L95" s="99">
        <v>48</v>
      </c>
      <c r="M95" s="99"/>
      <c r="N95" s="99"/>
      <c r="O95" s="98"/>
      <c r="P95" s="97"/>
      <c r="Q95" s="104" t="s">
        <v>389</v>
      </c>
      <c r="R95" s="62"/>
      <c r="S95" s="71">
        <f t="shared" si="10"/>
        <v>3</v>
      </c>
      <c r="T95" s="71">
        <f t="shared" si="11"/>
        <v>0</v>
      </c>
      <c r="U95" s="71">
        <f t="shared" si="12"/>
        <v>0</v>
      </c>
      <c r="V95" s="72" t="str">
        <f t="shared" si="13"/>
        <v/>
      </c>
      <c r="W95" s="73"/>
      <c r="X95" s="74" t="str">
        <f t="shared" si="14"/>
        <v>请填写修读学期！</v>
      </c>
    </row>
    <row r="96" spans="1:24" ht="40.5" customHeight="1">
      <c r="A96" s="276"/>
      <c r="B96" s="276"/>
      <c r="C96" s="293" t="s">
        <v>390</v>
      </c>
      <c r="D96" s="293" t="s">
        <v>390</v>
      </c>
      <c r="E96" s="293" t="s">
        <v>390</v>
      </c>
      <c r="F96" s="293" t="s">
        <v>390</v>
      </c>
      <c r="G96" s="293" t="s">
        <v>390</v>
      </c>
      <c r="H96" s="293" t="s">
        <v>390</v>
      </c>
      <c r="I96" s="293" t="s">
        <v>390</v>
      </c>
      <c r="J96" s="99">
        <v>2</v>
      </c>
      <c r="K96" s="99">
        <v>32</v>
      </c>
      <c r="L96" s="99">
        <v>32</v>
      </c>
      <c r="M96" s="99"/>
      <c r="N96" s="99"/>
      <c r="O96" s="99"/>
      <c r="P96" s="97"/>
      <c r="Q96" s="104" t="s">
        <v>389</v>
      </c>
      <c r="R96" s="62"/>
      <c r="S96" s="71">
        <f t="shared" si="10"/>
        <v>2</v>
      </c>
      <c r="T96" s="71">
        <f t="shared" si="11"/>
        <v>0</v>
      </c>
      <c r="U96" s="71">
        <f t="shared" si="12"/>
        <v>0</v>
      </c>
      <c r="V96" s="72" t="str">
        <f t="shared" si="13"/>
        <v/>
      </c>
      <c r="W96" s="73"/>
      <c r="X96" s="74" t="str">
        <f t="shared" si="14"/>
        <v>请填写修读学期！</v>
      </c>
    </row>
    <row r="97" spans="1:24" ht="33.75" customHeight="1">
      <c r="A97" s="276"/>
      <c r="B97" s="276"/>
      <c r="C97" s="293" t="s">
        <v>87</v>
      </c>
      <c r="D97" s="293" t="s">
        <v>87</v>
      </c>
      <c r="E97" s="293" t="s">
        <v>87</v>
      </c>
      <c r="F97" s="293" t="s">
        <v>87</v>
      </c>
      <c r="G97" s="293" t="s">
        <v>87</v>
      </c>
      <c r="H97" s="293" t="s">
        <v>87</v>
      </c>
      <c r="I97" s="293" t="s">
        <v>87</v>
      </c>
      <c r="J97" s="99">
        <v>3</v>
      </c>
      <c r="K97" s="99">
        <v>48</v>
      </c>
      <c r="L97" s="99">
        <v>48</v>
      </c>
      <c r="M97" s="99"/>
      <c r="N97" s="99"/>
      <c r="O97" s="98" t="s">
        <v>50</v>
      </c>
      <c r="P97" s="97"/>
      <c r="Q97" s="104" t="s">
        <v>387</v>
      </c>
      <c r="R97" s="62"/>
      <c r="S97" s="71">
        <f t="shared" si="10"/>
        <v>3</v>
      </c>
      <c r="T97" s="71">
        <f t="shared" si="11"/>
        <v>0</v>
      </c>
      <c r="U97" s="71">
        <f t="shared" si="12"/>
        <v>0</v>
      </c>
      <c r="V97" s="72">
        <f t="shared" si="13"/>
        <v>1</v>
      </c>
      <c r="W97" s="73"/>
      <c r="X97" s="74" t="str">
        <f t="shared" si="14"/>
        <v>请填写修读学期！</v>
      </c>
    </row>
    <row r="98" spans="1:24" ht="33.75" customHeight="1">
      <c r="A98" s="276"/>
      <c r="B98" s="276"/>
      <c r="C98" s="293" t="s">
        <v>391</v>
      </c>
      <c r="D98" s="293" t="s">
        <v>391</v>
      </c>
      <c r="E98" s="293" t="s">
        <v>391</v>
      </c>
      <c r="F98" s="293" t="s">
        <v>391</v>
      </c>
      <c r="G98" s="293" t="s">
        <v>391</v>
      </c>
      <c r="H98" s="293" t="s">
        <v>391</v>
      </c>
      <c r="I98" s="293" t="s">
        <v>391</v>
      </c>
      <c r="J98" s="99">
        <v>4</v>
      </c>
      <c r="K98" s="99">
        <v>64</v>
      </c>
      <c r="L98" s="99">
        <v>64</v>
      </c>
      <c r="M98" s="99"/>
      <c r="N98" s="99"/>
      <c r="O98" s="98" t="s">
        <v>50</v>
      </c>
      <c r="P98" s="104">
        <v>2</v>
      </c>
      <c r="Q98" s="104"/>
      <c r="R98" s="62"/>
      <c r="S98" s="71">
        <f t="shared" si="10"/>
        <v>4</v>
      </c>
      <c r="T98" s="71">
        <f t="shared" si="11"/>
        <v>0</v>
      </c>
      <c r="U98" s="71">
        <f t="shared" si="12"/>
        <v>0</v>
      </c>
      <c r="V98" s="72">
        <f t="shared" si="13"/>
        <v>1</v>
      </c>
      <c r="W98" s="73"/>
      <c r="X98" s="74" t="str">
        <f t="shared" si="14"/>
        <v/>
      </c>
    </row>
    <row r="99" spans="1:24" ht="31.5" customHeight="1">
      <c r="A99" s="276"/>
      <c r="B99" s="276"/>
      <c r="C99" s="293" t="s">
        <v>392</v>
      </c>
      <c r="D99" s="293" t="s">
        <v>392</v>
      </c>
      <c r="E99" s="293" t="s">
        <v>392</v>
      </c>
      <c r="F99" s="293" t="s">
        <v>392</v>
      </c>
      <c r="G99" s="293" t="s">
        <v>392</v>
      </c>
      <c r="H99" s="293" t="s">
        <v>392</v>
      </c>
      <c r="I99" s="293" t="s">
        <v>392</v>
      </c>
      <c r="J99" s="99">
        <v>3</v>
      </c>
      <c r="K99" s="99">
        <v>48</v>
      </c>
      <c r="L99" s="99">
        <v>48</v>
      </c>
      <c r="M99" s="99"/>
      <c r="N99" s="99"/>
      <c r="O99" s="98" t="s">
        <v>50</v>
      </c>
      <c r="P99" s="104">
        <v>3</v>
      </c>
      <c r="Q99" s="104"/>
      <c r="R99" s="62"/>
      <c r="S99" s="71">
        <f t="shared" si="10"/>
        <v>3</v>
      </c>
      <c r="T99" s="71">
        <f t="shared" si="11"/>
        <v>0</v>
      </c>
      <c r="U99" s="71">
        <f t="shared" si="12"/>
        <v>0</v>
      </c>
      <c r="V99" s="72">
        <f t="shared" si="13"/>
        <v>1</v>
      </c>
      <c r="W99" s="73"/>
      <c r="X99" s="74" t="str">
        <f t="shared" si="14"/>
        <v/>
      </c>
    </row>
    <row r="100" spans="1:24" ht="31.5" customHeight="1">
      <c r="A100" s="276"/>
      <c r="B100" s="276"/>
      <c r="C100" s="293" t="s">
        <v>393</v>
      </c>
      <c r="D100" s="293" t="s">
        <v>393</v>
      </c>
      <c r="E100" s="293" t="s">
        <v>393</v>
      </c>
      <c r="F100" s="293" t="s">
        <v>393</v>
      </c>
      <c r="G100" s="293" t="s">
        <v>393</v>
      </c>
      <c r="H100" s="293" t="s">
        <v>393</v>
      </c>
      <c r="I100" s="293" t="s">
        <v>393</v>
      </c>
      <c r="J100" s="105">
        <v>3</v>
      </c>
      <c r="K100" s="105">
        <v>48</v>
      </c>
      <c r="L100" s="105">
        <v>48</v>
      </c>
      <c r="M100" s="99"/>
      <c r="N100" s="99"/>
      <c r="O100" s="98" t="s">
        <v>50</v>
      </c>
      <c r="P100" s="104">
        <v>2</v>
      </c>
      <c r="Q100" s="103"/>
      <c r="R100" s="62"/>
      <c r="S100" s="71">
        <f t="shared" si="10"/>
        <v>3</v>
      </c>
      <c r="T100" s="71">
        <f t="shared" si="11"/>
        <v>0</v>
      </c>
      <c r="U100" s="71">
        <f t="shared" si="12"/>
        <v>0</v>
      </c>
      <c r="V100" s="72">
        <f t="shared" si="13"/>
        <v>1</v>
      </c>
      <c r="W100" s="73"/>
      <c r="X100" s="74" t="str">
        <f t="shared" si="14"/>
        <v/>
      </c>
    </row>
    <row r="101" spans="1:24" ht="33.75" customHeight="1">
      <c r="A101" s="276"/>
      <c r="B101" s="276"/>
      <c r="C101" s="293" t="s">
        <v>394</v>
      </c>
      <c r="D101" s="293" t="s">
        <v>394</v>
      </c>
      <c r="E101" s="293" t="s">
        <v>394</v>
      </c>
      <c r="F101" s="293" t="s">
        <v>394</v>
      </c>
      <c r="G101" s="293" t="s">
        <v>394</v>
      </c>
      <c r="H101" s="293" t="s">
        <v>394</v>
      </c>
      <c r="I101" s="293" t="s">
        <v>394</v>
      </c>
      <c r="J101" s="105">
        <v>3</v>
      </c>
      <c r="K101" s="105">
        <v>48</v>
      </c>
      <c r="L101" s="105">
        <v>48</v>
      </c>
      <c r="M101" s="99"/>
      <c r="N101" s="99"/>
      <c r="O101" s="98" t="s">
        <v>50</v>
      </c>
      <c r="P101" s="104">
        <v>3</v>
      </c>
      <c r="Q101" s="103"/>
      <c r="R101" s="62"/>
      <c r="S101" s="71">
        <f t="shared" si="10"/>
        <v>3</v>
      </c>
      <c r="T101" s="71">
        <f t="shared" si="11"/>
        <v>0</v>
      </c>
      <c r="U101" s="71">
        <f t="shared" si="12"/>
        <v>0</v>
      </c>
      <c r="V101" s="72">
        <f t="shared" si="13"/>
        <v>1</v>
      </c>
      <c r="W101" s="73"/>
      <c r="X101" s="74" t="str">
        <f t="shared" si="14"/>
        <v/>
      </c>
    </row>
    <row r="102" spans="1:24" ht="31.5" customHeight="1">
      <c r="A102" s="276"/>
      <c r="B102" s="276"/>
      <c r="C102" s="293" t="s">
        <v>395</v>
      </c>
      <c r="D102" s="293" t="s">
        <v>395</v>
      </c>
      <c r="E102" s="293" t="s">
        <v>395</v>
      </c>
      <c r="F102" s="293" t="s">
        <v>395</v>
      </c>
      <c r="G102" s="293" t="s">
        <v>395</v>
      </c>
      <c r="H102" s="293" t="s">
        <v>395</v>
      </c>
      <c r="I102" s="293" t="s">
        <v>395</v>
      </c>
      <c r="J102" s="99">
        <v>3</v>
      </c>
      <c r="K102" s="99">
        <v>54</v>
      </c>
      <c r="L102" s="99">
        <v>54</v>
      </c>
      <c r="M102" s="99"/>
      <c r="N102" s="99"/>
      <c r="O102" s="98" t="s">
        <v>50</v>
      </c>
      <c r="P102" s="104">
        <v>1</v>
      </c>
      <c r="Q102" s="104"/>
      <c r="R102" s="62"/>
      <c r="S102" s="71">
        <f t="shared" si="10"/>
        <v>3</v>
      </c>
      <c r="T102" s="71">
        <f t="shared" si="11"/>
        <v>0</v>
      </c>
      <c r="U102" s="71">
        <f t="shared" si="12"/>
        <v>0</v>
      </c>
      <c r="V102" s="72">
        <f t="shared" si="13"/>
        <v>1</v>
      </c>
      <c r="W102" s="73"/>
      <c r="X102" s="74" t="str">
        <f t="shared" si="14"/>
        <v/>
      </c>
    </row>
    <row r="103" spans="1:24" ht="31.5" customHeight="1">
      <c r="A103" s="276"/>
      <c r="B103" s="276"/>
      <c r="C103" s="293" t="s">
        <v>396</v>
      </c>
      <c r="D103" s="293" t="s">
        <v>396</v>
      </c>
      <c r="E103" s="293" t="s">
        <v>396</v>
      </c>
      <c r="F103" s="293" t="s">
        <v>396</v>
      </c>
      <c r="G103" s="293" t="s">
        <v>396</v>
      </c>
      <c r="H103" s="293" t="s">
        <v>396</v>
      </c>
      <c r="I103" s="293" t="s">
        <v>396</v>
      </c>
      <c r="J103" s="99">
        <v>0.5</v>
      </c>
      <c r="K103" s="99">
        <v>18</v>
      </c>
      <c r="L103" s="99"/>
      <c r="M103" s="99">
        <v>18</v>
      </c>
      <c r="N103" s="99"/>
      <c r="O103" s="98" t="s">
        <v>50</v>
      </c>
      <c r="P103" s="104">
        <v>1</v>
      </c>
      <c r="Q103" s="104"/>
      <c r="R103" s="62"/>
      <c r="S103" s="71">
        <f t="shared" si="10"/>
        <v>0</v>
      </c>
      <c r="T103" s="71">
        <f t="shared" si="11"/>
        <v>0.5</v>
      </c>
      <c r="U103" s="71">
        <f t="shared" si="12"/>
        <v>0</v>
      </c>
      <c r="V103" s="72">
        <f t="shared" si="13"/>
        <v>1</v>
      </c>
      <c r="W103" s="73"/>
      <c r="X103" s="74" t="str">
        <f t="shared" si="14"/>
        <v/>
      </c>
    </row>
    <row r="104" spans="1:24" ht="33.75" customHeight="1">
      <c r="A104" s="276"/>
      <c r="B104" s="276"/>
      <c r="C104" s="293" t="s">
        <v>90</v>
      </c>
      <c r="D104" s="293" t="s">
        <v>90</v>
      </c>
      <c r="E104" s="293" t="s">
        <v>90</v>
      </c>
      <c r="F104" s="293" t="s">
        <v>90</v>
      </c>
      <c r="G104" s="293" t="s">
        <v>90</v>
      </c>
      <c r="H104" s="293" t="s">
        <v>90</v>
      </c>
      <c r="I104" s="293" t="s">
        <v>90</v>
      </c>
      <c r="J104" s="99">
        <v>1</v>
      </c>
      <c r="K104" s="99">
        <v>24</v>
      </c>
      <c r="L104" s="99"/>
      <c r="M104" s="99">
        <v>24</v>
      </c>
      <c r="N104" s="99"/>
      <c r="O104" s="106"/>
      <c r="P104" s="104">
        <v>2</v>
      </c>
      <c r="Q104" s="104"/>
      <c r="R104" s="62"/>
      <c r="S104" s="71">
        <f t="shared" si="10"/>
        <v>0</v>
      </c>
      <c r="T104" s="71">
        <f t="shared" si="11"/>
        <v>1</v>
      </c>
      <c r="U104" s="71">
        <f t="shared" si="12"/>
        <v>0</v>
      </c>
      <c r="V104" s="72" t="str">
        <f t="shared" si="13"/>
        <v/>
      </c>
      <c r="W104" s="73"/>
      <c r="X104" s="74" t="str">
        <f t="shared" si="14"/>
        <v/>
      </c>
    </row>
    <row r="105" spans="1:24" ht="33.75" customHeight="1">
      <c r="A105" s="276"/>
      <c r="B105" s="276"/>
      <c r="C105" s="293" t="s">
        <v>96</v>
      </c>
      <c r="D105" s="293" t="s">
        <v>96</v>
      </c>
      <c r="E105" s="293" t="s">
        <v>96</v>
      </c>
      <c r="F105" s="293" t="s">
        <v>96</v>
      </c>
      <c r="G105" s="293" t="s">
        <v>96</v>
      </c>
      <c r="H105" s="293" t="s">
        <v>96</v>
      </c>
      <c r="I105" s="293" t="s">
        <v>96</v>
      </c>
      <c r="J105" s="99">
        <v>1</v>
      </c>
      <c r="K105" s="99">
        <v>24</v>
      </c>
      <c r="L105" s="99"/>
      <c r="M105" s="99">
        <v>24</v>
      </c>
      <c r="N105" s="99"/>
      <c r="O105" s="106"/>
      <c r="P105" s="104">
        <v>3</v>
      </c>
      <c r="Q105" s="104"/>
      <c r="R105" s="62"/>
      <c r="S105" s="71">
        <f t="shared" si="10"/>
        <v>0</v>
      </c>
      <c r="T105" s="71">
        <f t="shared" si="11"/>
        <v>1</v>
      </c>
      <c r="U105" s="71">
        <f t="shared" si="12"/>
        <v>0</v>
      </c>
      <c r="V105" s="72" t="str">
        <f t="shared" si="13"/>
        <v/>
      </c>
      <c r="W105" s="73"/>
      <c r="X105" s="74" t="str">
        <f t="shared" si="14"/>
        <v/>
      </c>
    </row>
    <row r="106" spans="1:24" ht="27.95" customHeight="1">
      <c r="A106" s="276"/>
      <c r="B106" s="276"/>
      <c r="C106" s="293"/>
      <c r="D106" s="293"/>
      <c r="E106" s="293"/>
      <c r="F106" s="293"/>
      <c r="G106" s="293"/>
      <c r="H106" s="293"/>
      <c r="I106" s="293"/>
      <c r="J106" s="107"/>
      <c r="K106" s="107"/>
      <c r="L106" s="107"/>
      <c r="M106" s="107"/>
      <c r="N106" s="107"/>
      <c r="O106" s="108"/>
      <c r="P106" s="97"/>
      <c r="Q106" s="61"/>
      <c r="R106" s="62"/>
      <c r="S106" s="71" t="str">
        <f t="shared" si="10"/>
        <v/>
      </c>
      <c r="T106" s="71" t="str">
        <f t="shared" si="11"/>
        <v/>
      </c>
      <c r="U106" s="71" t="str">
        <f t="shared" si="12"/>
        <v/>
      </c>
      <c r="V106" s="72" t="str">
        <f t="shared" si="13"/>
        <v/>
      </c>
      <c r="W106" s="73"/>
      <c r="X106" s="74" t="str">
        <f t="shared" si="14"/>
        <v/>
      </c>
    </row>
    <row r="107" spans="1:24" ht="27.95" customHeight="1">
      <c r="A107" s="276"/>
      <c r="B107" s="276"/>
      <c r="C107" s="293"/>
      <c r="D107" s="293"/>
      <c r="E107" s="293"/>
      <c r="F107" s="293"/>
      <c r="G107" s="293"/>
      <c r="H107" s="293"/>
      <c r="I107" s="293"/>
      <c r="J107" s="107"/>
      <c r="K107" s="107"/>
      <c r="L107" s="107"/>
      <c r="M107" s="107"/>
      <c r="N107" s="107"/>
      <c r="O107" s="108"/>
      <c r="P107" s="97"/>
      <c r="Q107" s="61"/>
      <c r="R107" s="62"/>
      <c r="S107" s="71" t="str">
        <f t="shared" si="10"/>
        <v/>
      </c>
      <c r="T107" s="71" t="str">
        <f t="shared" si="11"/>
        <v/>
      </c>
      <c r="U107" s="71" t="str">
        <f t="shared" si="12"/>
        <v/>
      </c>
      <c r="V107" s="72" t="str">
        <f t="shared" si="13"/>
        <v/>
      </c>
      <c r="W107" s="73"/>
      <c r="X107" s="74" t="str">
        <f t="shared" si="14"/>
        <v/>
      </c>
    </row>
    <row r="108" spans="1:24" ht="27.95" customHeight="1">
      <c r="A108" s="276"/>
      <c r="B108" s="276"/>
      <c r="C108" s="293"/>
      <c r="D108" s="293"/>
      <c r="E108" s="293"/>
      <c r="F108" s="293"/>
      <c r="G108" s="293"/>
      <c r="H108" s="293"/>
      <c r="I108" s="293"/>
      <c r="J108" s="107"/>
      <c r="K108" s="107"/>
      <c r="L108" s="107"/>
      <c r="M108" s="107"/>
      <c r="N108" s="107"/>
      <c r="O108" s="108"/>
      <c r="P108" s="97"/>
      <c r="Q108" s="61"/>
      <c r="R108" s="62"/>
      <c r="S108" s="75" t="str">
        <f t="shared" si="10"/>
        <v/>
      </c>
      <c r="T108" s="75" t="str">
        <f t="shared" si="11"/>
        <v/>
      </c>
      <c r="U108" s="75" t="str">
        <f t="shared" si="12"/>
        <v/>
      </c>
      <c r="V108" s="76" t="str">
        <f t="shared" si="13"/>
        <v/>
      </c>
      <c r="W108" s="77"/>
      <c r="X108" s="78" t="str">
        <f t="shared" si="14"/>
        <v/>
      </c>
    </row>
    <row r="109" spans="1:24" ht="30" customHeight="1">
      <c r="A109" s="262" t="s">
        <v>61</v>
      </c>
      <c r="B109" s="262" t="s">
        <v>61</v>
      </c>
      <c r="C109" s="270"/>
      <c r="D109" s="270"/>
      <c r="E109" s="270"/>
      <c r="F109" s="270"/>
      <c r="G109" s="270"/>
      <c r="H109" s="270"/>
      <c r="I109" s="270"/>
      <c r="J109" s="49">
        <f>SUM(J82:J108)</f>
        <v>75.5</v>
      </c>
      <c r="K109" s="49">
        <f>SUM(K82:K108)</f>
        <v>1352</v>
      </c>
      <c r="L109" s="49">
        <f>SUM(L82:L108)</f>
        <v>1070</v>
      </c>
      <c r="M109" s="49">
        <f>SUM(M82:M108)</f>
        <v>282</v>
      </c>
      <c r="N109" s="49">
        <f>SUM(N82:N108)</f>
        <v>0</v>
      </c>
      <c r="O109" s="52">
        <f>COUNTIF(O82:O108,"√")</f>
        <v>20</v>
      </c>
      <c r="P109" s="49"/>
      <c r="Q109" s="52"/>
      <c r="R109" s="79"/>
      <c r="S109" s="80">
        <f>SUM(S82:S108)</f>
        <v>66.333333333333329</v>
      </c>
      <c r="T109" s="80">
        <f>SUM(T82:T108)</f>
        <v>9.1666666666666661</v>
      </c>
      <c r="U109" s="80">
        <f>SUM(U82:U108)</f>
        <v>0</v>
      </c>
      <c r="V109" s="80"/>
      <c r="W109" s="81"/>
      <c r="X109" s="65" t="str">
        <f>IF(J109&lt;&gt;S109+T109+U109,"学分计算有误！","")</f>
        <v/>
      </c>
    </row>
    <row r="110" spans="1:24" ht="40.5" customHeight="1">
      <c r="A110" s="339"/>
      <c r="B110" s="339"/>
      <c r="C110" s="293" t="s">
        <v>92</v>
      </c>
      <c r="D110" s="293" t="s">
        <v>92</v>
      </c>
      <c r="E110" s="293" t="s">
        <v>92</v>
      </c>
      <c r="F110" s="293" t="s">
        <v>92</v>
      </c>
      <c r="G110" s="293" t="s">
        <v>92</v>
      </c>
      <c r="H110" s="293" t="s">
        <v>92</v>
      </c>
      <c r="I110" s="293" t="s">
        <v>92</v>
      </c>
      <c r="J110" s="99">
        <v>1</v>
      </c>
      <c r="K110" s="105">
        <v>1</v>
      </c>
      <c r="L110" s="105"/>
      <c r="M110" s="105"/>
      <c r="N110" s="105"/>
      <c r="O110" s="109"/>
      <c r="P110" s="110">
        <v>1</v>
      </c>
      <c r="Q110" s="118" t="s">
        <v>370</v>
      </c>
      <c r="R110" s="119"/>
      <c r="S110" s="120"/>
      <c r="T110" s="120"/>
      <c r="U110" s="120"/>
      <c r="V110" s="120" t="str">
        <f>IF(O110="√",1,"")</f>
        <v/>
      </c>
      <c r="W110" s="62"/>
      <c r="X110" s="74" t="str">
        <f>IF(C110&lt;&gt;"",IF(P110="","请填写修读学期！","")&amp;IF(P110&gt;10,"超出修读期限！",""),"")</f>
        <v/>
      </c>
    </row>
    <row r="111" spans="1:24" ht="27.95" customHeight="1">
      <c r="A111" s="276"/>
      <c r="B111" s="276"/>
      <c r="C111" s="293" t="s">
        <v>373</v>
      </c>
      <c r="D111" s="293"/>
      <c r="E111" s="293"/>
      <c r="F111" s="293"/>
      <c r="G111" s="293"/>
      <c r="H111" s="293"/>
      <c r="I111" s="293"/>
      <c r="J111" s="111">
        <v>6</v>
      </c>
      <c r="K111" s="111">
        <v>2</v>
      </c>
      <c r="L111" s="111"/>
      <c r="M111" s="111"/>
      <c r="N111" s="111"/>
      <c r="O111" s="111"/>
      <c r="P111" s="111">
        <v>2</v>
      </c>
      <c r="Q111" s="61"/>
      <c r="R111" s="119"/>
      <c r="S111" s="120"/>
      <c r="T111" s="120"/>
      <c r="U111" s="120"/>
      <c r="V111" s="120" t="str">
        <f>IF(O111="√",1,"")</f>
        <v/>
      </c>
      <c r="W111" s="62"/>
      <c r="X111" s="74" t="str">
        <f>IF(C111&lt;&gt;"",IF(P111="","请填写修读学期！","")&amp;IF(P111&gt;10,"超出修读期限！",""),"")</f>
        <v/>
      </c>
    </row>
    <row r="112" spans="1:24" ht="27.95" customHeight="1">
      <c r="A112" s="276"/>
      <c r="B112" s="276"/>
      <c r="C112" s="293" t="s">
        <v>374</v>
      </c>
      <c r="D112" s="293"/>
      <c r="E112" s="293"/>
      <c r="F112" s="293"/>
      <c r="G112" s="293"/>
      <c r="H112" s="293"/>
      <c r="I112" s="293"/>
      <c r="J112" s="107">
        <v>1</v>
      </c>
      <c r="K112" s="107">
        <v>1</v>
      </c>
      <c r="L112" s="107"/>
      <c r="M112" s="107"/>
      <c r="N112" s="107"/>
      <c r="O112" s="108"/>
      <c r="P112" s="112">
        <v>3</v>
      </c>
      <c r="Q112" s="61"/>
      <c r="R112" s="119"/>
      <c r="S112" s="120"/>
      <c r="T112" s="120"/>
      <c r="U112" s="120"/>
      <c r="V112" s="120" t="str">
        <f>IF(O112="√",1,"")</f>
        <v/>
      </c>
      <c r="W112" s="62"/>
      <c r="X112" s="74" t="str">
        <f>IF(C112&lt;&gt;"",IF(P112="","请填写修读学期！","")&amp;IF(P112&gt;10,"超出修读期限！",""),"")</f>
        <v/>
      </c>
    </row>
    <row r="113" spans="1:24" ht="27.95" customHeight="1">
      <c r="A113" s="276"/>
      <c r="B113" s="276"/>
      <c r="C113" s="293" t="s">
        <v>397</v>
      </c>
      <c r="D113" s="293"/>
      <c r="E113" s="293"/>
      <c r="F113" s="293"/>
      <c r="G113" s="293"/>
      <c r="H113" s="293"/>
      <c r="I113" s="293"/>
      <c r="J113" s="111">
        <v>6</v>
      </c>
      <c r="K113" s="111">
        <v>2</v>
      </c>
      <c r="L113" s="111"/>
      <c r="M113" s="111"/>
      <c r="N113" s="111"/>
      <c r="O113" s="111"/>
      <c r="P113" s="111">
        <v>4</v>
      </c>
      <c r="Q113" s="61"/>
      <c r="R113" s="119"/>
      <c r="S113" s="121"/>
      <c r="T113" s="121"/>
      <c r="U113" s="121"/>
      <c r="V113" s="121" t="str">
        <f>IF(O113="√",1,"")</f>
        <v/>
      </c>
      <c r="W113" s="122"/>
      <c r="X113" s="78" t="str">
        <f>IF(C113&lt;&gt;"",IF(P113="","请填写修读学期！","")&amp;IF(P113&gt;10,"超出修读期限！",""),"")</f>
        <v/>
      </c>
    </row>
    <row r="114" spans="1:24" ht="30" customHeight="1">
      <c r="A114" s="262" t="s">
        <v>61</v>
      </c>
      <c r="B114" s="262"/>
      <c r="C114" s="270"/>
      <c r="D114" s="270"/>
      <c r="E114" s="270"/>
      <c r="F114" s="270"/>
      <c r="G114" s="270"/>
      <c r="H114" s="270"/>
      <c r="I114" s="270"/>
      <c r="J114" s="35">
        <f>SUM(J110:J113)</f>
        <v>14</v>
      </c>
      <c r="K114" s="49">
        <f>SUM(K110:K113)</f>
        <v>6</v>
      </c>
      <c r="L114" s="49">
        <f>SUM(L110:L113)</f>
        <v>0</v>
      </c>
      <c r="M114" s="49">
        <f>SUM(M110:M113)</f>
        <v>0</v>
      </c>
      <c r="N114" s="49">
        <f>SUM(N110:N113)</f>
        <v>0</v>
      </c>
      <c r="O114" s="52">
        <f>COUNTIF(O110:O113,"√")</f>
        <v>0</v>
      </c>
      <c r="P114" s="49"/>
      <c r="Q114" s="52"/>
      <c r="R114" s="79"/>
      <c r="S114" s="79"/>
      <c r="T114" s="79"/>
      <c r="U114" s="79"/>
      <c r="V114" s="79"/>
      <c r="W114" s="81"/>
      <c r="X114" s="81"/>
    </row>
    <row r="115" spans="1:24" ht="21.95" customHeight="1">
      <c r="A115" s="360" t="str">
        <f>"    2.选修课（"&amp;SUMIF(R118:R121,"&lt;=10",J118:J121)&amp;"）学分"</f>
        <v xml:space="preserve">    2.选修课（6.5）学分</v>
      </c>
      <c r="B115" s="360"/>
      <c r="C115" s="360"/>
      <c r="D115" s="360"/>
      <c r="E115" s="360"/>
      <c r="F115" s="360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87"/>
      <c r="S115" s="87"/>
      <c r="T115" s="87"/>
      <c r="U115" s="87"/>
      <c r="V115" s="87"/>
      <c r="W115" s="87"/>
      <c r="X115" s="59"/>
    </row>
    <row r="116" spans="1:24" ht="18.75" customHeight="1">
      <c r="A116" s="281" t="s">
        <v>27</v>
      </c>
      <c r="B116" s="283"/>
      <c r="C116" s="281" t="s">
        <v>28</v>
      </c>
      <c r="D116" s="282"/>
      <c r="E116" s="282"/>
      <c r="F116" s="282"/>
      <c r="G116" s="282"/>
      <c r="H116" s="282"/>
      <c r="I116" s="283"/>
      <c r="J116" s="279" t="s">
        <v>29</v>
      </c>
      <c r="K116" s="266" t="s">
        <v>30</v>
      </c>
      <c r="L116" s="267"/>
      <c r="M116" s="267"/>
      <c r="N116" s="268"/>
      <c r="O116" s="279" t="s">
        <v>31</v>
      </c>
      <c r="P116" s="343" t="s">
        <v>32</v>
      </c>
      <c r="Q116" s="279" t="s">
        <v>33</v>
      </c>
      <c r="R116" s="346" t="s">
        <v>34</v>
      </c>
      <c r="S116" s="352" t="s">
        <v>35</v>
      </c>
      <c r="T116" s="352" t="s">
        <v>36</v>
      </c>
      <c r="U116" s="352" t="s">
        <v>37</v>
      </c>
      <c r="V116" s="352" t="s">
        <v>38</v>
      </c>
      <c r="W116" s="352" t="s">
        <v>39</v>
      </c>
      <c r="X116" s="348" t="s">
        <v>40</v>
      </c>
    </row>
    <row r="117" spans="1:24" ht="30" customHeight="1">
      <c r="A117" s="284"/>
      <c r="B117" s="286"/>
      <c r="C117" s="284"/>
      <c r="D117" s="285"/>
      <c r="E117" s="285"/>
      <c r="F117" s="285"/>
      <c r="G117" s="285"/>
      <c r="H117" s="285"/>
      <c r="I117" s="286"/>
      <c r="J117" s="280"/>
      <c r="K117" s="34" t="s">
        <v>41</v>
      </c>
      <c r="L117" s="34" t="s">
        <v>42</v>
      </c>
      <c r="M117" s="34" t="s">
        <v>43</v>
      </c>
      <c r="N117" s="34" t="s">
        <v>44</v>
      </c>
      <c r="O117" s="280"/>
      <c r="P117" s="344"/>
      <c r="Q117" s="280"/>
      <c r="R117" s="346"/>
      <c r="S117" s="353"/>
      <c r="T117" s="353"/>
      <c r="U117" s="353"/>
      <c r="V117" s="353"/>
      <c r="W117" s="353"/>
      <c r="X117" s="348"/>
    </row>
    <row r="118" spans="1:24" ht="30" customHeight="1">
      <c r="A118" s="276"/>
      <c r="B118" s="276"/>
      <c r="C118" s="293" t="s">
        <v>372</v>
      </c>
      <c r="D118" s="293"/>
      <c r="E118" s="293"/>
      <c r="F118" s="293"/>
      <c r="G118" s="293"/>
      <c r="H118" s="293"/>
      <c r="I118" s="293"/>
      <c r="J118" s="111">
        <v>2</v>
      </c>
      <c r="K118" s="111">
        <v>32</v>
      </c>
      <c r="L118" s="111">
        <v>32</v>
      </c>
      <c r="M118" s="111"/>
      <c r="N118" s="111"/>
      <c r="O118" s="111"/>
      <c r="P118" s="111"/>
      <c r="Q118" s="123"/>
      <c r="R118" s="124">
        <v>5</v>
      </c>
      <c r="S118" s="71">
        <f>IF(ISERROR(J118*L118/(L118+M118/2+N118/2)),"",J118*L118/(L118+M118/2+N118/2))</f>
        <v>2</v>
      </c>
      <c r="T118" s="71">
        <f>IF(ISERROR(J118*M118/2/(L118+M118/2+N118/2)),"",J118*M118/2/(L118+M118/2+N118/2))</f>
        <v>0</v>
      </c>
      <c r="U118" s="71">
        <f>IF(ISERROR(J118*N118/2/(L118+M118/2+N118/2)),"",J118*N118/2/(L118+M118/2+N118/2))</f>
        <v>0</v>
      </c>
      <c r="V118" s="72" t="str">
        <f>IF(O118="√",1,"")</f>
        <v/>
      </c>
      <c r="W118" s="73"/>
      <c r="X118" s="74" t="str">
        <f>IF(J118="","",IF(K118="","学时没填，影响学分统计！",""))</f>
        <v/>
      </c>
    </row>
    <row r="119" spans="1:24" ht="30" customHeight="1">
      <c r="A119" s="276"/>
      <c r="B119" s="276"/>
      <c r="C119" s="293" t="s">
        <v>373</v>
      </c>
      <c r="D119" s="293"/>
      <c r="E119" s="293"/>
      <c r="F119" s="293"/>
      <c r="G119" s="293"/>
      <c r="H119" s="293"/>
      <c r="I119" s="293"/>
      <c r="J119" s="111">
        <v>1.5</v>
      </c>
      <c r="K119" s="111">
        <v>32</v>
      </c>
      <c r="L119" s="111">
        <v>16</v>
      </c>
      <c r="M119" s="111"/>
      <c r="N119" s="111">
        <v>16</v>
      </c>
      <c r="O119" s="111"/>
      <c r="P119" s="61"/>
      <c r="Q119" s="123"/>
      <c r="R119" s="124">
        <v>1</v>
      </c>
      <c r="S119" s="71">
        <f>IF(ISERROR(J119*L119/(L119+M119/2+N119/2)),"",J119*L119/(L119+M119/2+N119/2))</f>
        <v>1</v>
      </c>
      <c r="T119" s="71">
        <f>IF(ISERROR(J119*M119/2/(L119+M119/2+N119/2)),"",J119*M119/2/(L119+M119/2+N119/2))</f>
        <v>0</v>
      </c>
      <c r="U119" s="71">
        <f>IF(ISERROR(J119*N119/2/(L119+M119/2+N119/2)),"",J119*N119/2/(L119+M119/2+N119/2))</f>
        <v>0.5</v>
      </c>
      <c r="V119" s="72" t="str">
        <f>IF(O119="√",1,"")</f>
        <v/>
      </c>
      <c r="W119" s="73"/>
      <c r="X119" s="74" t="str">
        <f>IF(J119="","",IF(K119="","学时没填，影响学分统计！",""))</f>
        <v/>
      </c>
    </row>
    <row r="120" spans="1:24" ht="30" customHeight="1">
      <c r="A120" s="276"/>
      <c r="B120" s="276"/>
      <c r="C120" s="293" t="s">
        <v>374</v>
      </c>
      <c r="D120" s="293"/>
      <c r="E120" s="293"/>
      <c r="F120" s="293"/>
      <c r="G120" s="293"/>
      <c r="H120" s="293"/>
      <c r="I120" s="293"/>
      <c r="J120" s="111">
        <v>2</v>
      </c>
      <c r="K120" s="111">
        <v>32</v>
      </c>
      <c r="L120" s="111">
        <v>32</v>
      </c>
      <c r="M120" s="111"/>
      <c r="N120" s="111"/>
      <c r="O120" s="111"/>
      <c r="P120" s="111"/>
      <c r="Q120" s="123"/>
      <c r="R120" s="124"/>
      <c r="S120" s="71">
        <f>IF(ISERROR(J120*L120/(L120+M120/2+N120/2)),"",J120*L120/(L120+M120/2+N120/2))</f>
        <v>2</v>
      </c>
      <c r="T120" s="71">
        <f>IF(ISERROR(J120*M120/2/(L120+M120/2+N120/2)),"",J120*M120/2/(L120+M120/2+N120/2))</f>
        <v>0</v>
      </c>
      <c r="U120" s="71">
        <f>IF(ISERROR(J120*N120/2/(L120+M120/2+N120/2)),"",J120*N120/2/(L120+M120/2+N120/2))</f>
        <v>0</v>
      </c>
      <c r="V120" s="72" t="str">
        <f>IF(O120="√",1,"")</f>
        <v/>
      </c>
      <c r="W120" s="73"/>
      <c r="X120" s="74" t="str">
        <f>IF(J120="","",IF(K120="","学时没填，影响学分统计！",""))</f>
        <v/>
      </c>
    </row>
    <row r="121" spans="1:24" ht="30" customHeight="1">
      <c r="A121" s="276"/>
      <c r="B121" s="276"/>
      <c r="C121" s="293" t="s">
        <v>397</v>
      </c>
      <c r="D121" s="293"/>
      <c r="E121" s="293"/>
      <c r="F121" s="293"/>
      <c r="G121" s="293"/>
      <c r="H121" s="293"/>
      <c r="I121" s="293"/>
      <c r="J121" s="111">
        <v>3</v>
      </c>
      <c r="K121" s="111">
        <v>48</v>
      </c>
      <c r="L121" s="111">
        <v>48</v>
      </c>
      <c r="M121" s="111"/>
      <c r="N121" s="111"/>
      <c r="O121" s="111"/>
      <c r="P121" s="111"/>
      <c r="Q121" s="123"/>
      <c r="R121" s="124">
        <v>2</v>
      </c>
      <c r="S121" s="75">
        <f>IF(ISERROR(J121*L121/(L121+M121/2+N121/2)),"",J121*L121/(L121+M121/2+N121/2))</f>
        <v>3</v>
      </c>
      <c r="T121" s="75">
        <f>IF(ISERROR(J121*M121/2/(L121+M121/2+N121/2)),"",J121*M121/2/(L121+M121/2+N121/2))</f>
        <v>0</v>
      </c>
      <c r="U121" s="75">
        <f>IF(ISERROR(J121*N121/2/(L121+M121/2+N121/2)),"",J121*N121/2/(L121+M121/2+N121/2))</f>
        <v>0</v>
      </c>
      <c r="V121" s="76" t="str">
        <f>IF(O121="√",1,"")</f>
        <v/>
      </c>
      <c r="W121" s="77"/>
      <c r="X121" s="78" t="str">
        <f>IF(J121="","",IF(K121="","学时没填，影响学分统计！",""))</f>
        <v/>
      </c>
    </row>
    <row r="122" spans="1:24" ht="32.25" customHeight="1">
      <c r="A122" s="262" t="s">
        <v>61</v>
      </c>
      <c r="B122" s="262"/>
      <c r="C122" s="270" t="s">
        <v>74</v>
      </c>
      <c r="D122" s="270"/>
      <c r="E122" s="270"/>
      <c r="F122" s="270"/>
      <c r="G122" s="270"/>
      <c r="H122" s="270"/>
      <c r="I122" s="270"/>
      <c r="J122" s="95">
        <v>6.5</v>
      </c>
      <c r="K122" s="52"/>
      <c r="L122" s="52"/>
      <c r="M122" s="52"/>
      <c r="N122" s="52"/>
      <c r="O122" s="35">
        <f>COUNTIF(O115:O121,"√")</f>
        <v>0</v>
      </c>
      <c r="P122" s="53"/>
      <c r="Q122" s="52"/>
      <c r="R122" s="81"/>
      <c r="S122" s="81"/>
      <c r="T122" s="81"/>
      <c r="U122" s="81"/>
      <c r="V122" s="81"/>
      <c r="W122" s="81"/>
      <c r="X122" s="89" t="str">
        <f>IF(SUMIF(R118:R121,"&gt;0",J118:J121)=J122,"计划与实际选修学分一致！",IF(SUMIF(R118:R121,"&gt;0",J118:J121)&gt;J122,"实际比计划选修多"&amp;SUMIF(R118:R121,"&gt;0",J118:J121)-J122&amp;"学分!","选修缺"&amp;J122-SUMIF(R118:R121,"&gt;0",J118:J121)&amp;"学分!"))</f>
        <v>计划与实际选修学分一致！</v>
      </c>
    </row>
    <row r="123" spans="1:24" ht="21.95" customHeight="1">
      <c r="A123" s="367" t="str">
        <f>"    （四）教师教育课程平台（"&amp;J135+J144+SUMIF(R148:R158,"&lt;=10",J148:J158)&amp;"学分）"</f>
        <v xml:space="preserve">    （四）教师教育课程平台（35学分）</v>
      </c>
      <c r="B123" s="367"/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90"/>
      <c r="S123" s="90"/>
      <c r="T123" s="90"/>
      <c r="U123" s="90"/>
      <c r="V123" s="90"/>
      <c r="W123" s="90"/>
      <c r="X123" s="59"/>
    </row>
    <row r="124" spans="1:24" ht="21.95" customHeight="1">
      <c r="A124" s="368" t="str">
        <f>"    1.必修课（"&amp;J135+J144&amp;"）学分"</f>
        <v xml:space="preserve">    1.必修课（30）学分</v>
      </c>
      <c r="B124" s="368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60"/>
      <c r="S124" s="60"/>
      <c r="T124" s="60"/>
      <c r="U124" s="60"/>
      <c r="V124" s="60"/>
      <c r="W124" s="60"/>
      <c r="X124" s="59"/>
    </row>
    <row r="125" spans="1:24" ht="18.75" customHeight="1">
      <c r="A125" s="281" t="s">
        <v>27</v>
      </c>
      <c r="B125" s="283"/>
      <c r="C125" s="281" t="s">
        <v>28</v>
      </c>
      <c r="D125" s="282"/>
      <c r="E125" s="282"/>
      <c r="F125" s="282"/>
      <c r="G125" s="282"/>
      <c r="H125" s="282"/>
      <c r="I125" s="283"/>
      <c r="J125" s="279" t="s">
        <v>29</v>
      </c>
      <c r="K125" s="266" t="s">
        <v>30</v>
      </c>
      <c r="L125" s="267"/>
      <c r="M125" s="267"/>
      <c r="N125" s="268"/>
      <c r="O125" s="279" t="s">
        <v>31</v>
      </c>
      <c r="P125" s="343" t="s">
        <v>32</v>
      </c>
      <c r="Q125" s="279" t="s">
        <v>33</v>
      </c>
      <c r="R125" s="384" t="s">
        <v>34</v>
      </c>
      <c r="S125" s="352" t="s">
        <v>35</v>
      </c>
      <c r="T125" s="352" t="s">
        <v>36</v>
      </c>
      <c r="U125" s="352" t="s">
        <v>37</v>
      </c>
      <c r="V125" s="352" t="s">
        <v>38</v>
      </c>
      <c r="W125" s="352" t="s">
        <v>39</v>
      </c>
      <c r="X125" s="352" t="s">
        <v>40</v>
      </c>
    </row>
    <row r="126" spans="1:24" ht="30" customHeight="1">
      <c r="A126" s="284"/>
      <c r="B126" s="286"/>
      <c r="C126" s="284"/>
      <c r="D126" s="285"/>
      <c r="E126" s="285"/>
      <c r="F126" s="285"/>
      <c r="G126" s="285"/>
      <c r="H126" s="285"/>
      <c r="I126" s="286"/>
      <c r="J126" s="280"/>
      <c r="K126" s="34" t="s">
        <v>41</v>
      </c>
      <c r="L126" s="34" t="s">
        <v>42</v>
      </c>
      <c r="M126" s="34" t="s">
        <v>43</v>
      </c>
      <c r="N126" s="34" t="s">
        <v>44</v>
      </c>
      <c r="O126" s="280"/>
      <c r="P126" s="344"/>
      <c r="Q126" s="280"/>
      <c r="R126" s="385"/>
      <c r="S126" s="353"/>
      <c r="T126" s="353"/>
      <c r="U126" s="353"/>
      <c r="V126" s="353"/>
      <c r="W126" s="353"/>
      <c r="X126" s="353"/>
    </row>
    <row r="127" spans="1:24" ht="39.75" customHeight="1">
      <c r="A127" s="287"/>
      <c r="B127" s="288"/>
      <c r="C127" s="369" t="s">
        <v>398</v>
      </c>
      <c r="D127" s="370" t="s">
        <v>398</v>
      </c>
      <c r="E127" s="370" t="s">
        <v>398</v>
      </c>
      <c r="F127" s="370" t="s">
        <v>398</v>
      </c>
      <c r="G127" s="370" t="s">
        <v>398</v>
      </c>
      <c r="H127" s="370" t="s">
        <v>398</v>
      </c>
      <c r="I127" s="371" t="s">
        <v>398</v>
      </c>
      <c r="J127" s="113">
        <v>1</v>
      </c>
      <c r="K127" s="113">
        <v>18</v>
      </c>
      <c r="L127" s="113">
        <v>15</v>
      </c>
      <c r="M127" s="113"/>
      <c r="N127" s="113">
        <v>3</v>
      </c>
      <c r="O127" s="113"/>
      <c r="P127" s="44">
        <f>IF(O1="理工科",6,5)</f>
        <v>5</v>
      </c>
      <c r="Q127" s="125"/>
      <c r="R127" s="68"/>
      <c r="S127" s="63">
        <f t="shared" ref="S127:S134" si="15">IF(ISERROR(J127*L127/(L127+M127/2+N127/2)),"",J127*L127/(L127+M127/2+N127/2))</f>
        <v>0.90909090909090906</v>
      </c>
      <c r="T127" s="63">
        <f t="shared" ref="T127:T134" si="16">IF(ISERROR(J127*M127/2/(L127+M127/2+N127/2)),"",J127*M127/2/(L127+M127/2+N127/2))</f>
        <v>0</v>
      </c>
      <c r="U127" s="63">
        <f t="shared" ref="U127:U134" si="17">IF(ISERROR(J127*N127/2/(L127+M127/2+N127/2)),"",J127*N127/2/(L127+M127/2+N127/2))</f>
        <v>9.0909090909090912E-2</v>
      </c>
      <c r="V127" s="64" t="str">
        <f t="shared" ref="V127:V134" si="18">IF(O127="√",1,"")</f>
        <v/>
      </c>
      <c r="W127" s="65"/>
      <c r="X127" s="65" t="str">
        <f t="shared" ref="X127:X134" si="19">IF(ISERROR(IF(K127&lt;&gt;L127+M127+N127,"学时计算有误！","")&amp;IF(P127="","请填写修读学期！","")&amp;IF(P127&gt;10,"超出修读期限！","")&amp;IF(J127&lt;&gt;S127+T127+U127,"学分计算有误！","")),"",IF(K127&lt;&gt;L127+M127+N127,"学时计算有误！","")&amp;IF(P127="","请填写修读学期！","")&amp;IF(P127&gt;10,"超出修读期限！","")&amp;IF(J127&lt;&gt;S127+T127+U127,"学分计算有误！",""))</f>
        <v/>
      </c>
    </row>
    <row r="128" spans="1:24" ht="27.75" customHeight="1">
      <c r="A128" s="287"/>
      <c r="B128" s="288"/>
      <c r="C128" s="369" t="s">
        <v>399</v>
      </c>
      <c r="D128" s="370" t="s">
        <v>399</v>
      </c>
      <c r="E128" s="370" t="s">
        <v>399</v>
      </c>
      <c r="F128" s="370" t="s">
        <v>399</v>
      </c>
      <c r="G128" s="370" t="s">
        <v>399</v>
      </c>
      <c r="H128" s="370" t="s">
        <v>399</v>
      </c>
      <c r="I128" s="371" t="s">
        <v>399</v>
      </c>
      <c r="J128" s="113">
        <v>2</v>
      </c>
      <c r="K128" s="113">
        <v>36</v>
      </c>
      <c r="L128" s="113">
        <v>31</v>
      </c>
      <c r="M128" s="113"/>
      <c r="N128" s="113">
        <v>5</v>
      </c>
      <c r="O128" s="113" t="s">
        <v>50</v>
      </c>
      <c r="P128" s="44">
        <f>IF(O1="理工科",4,3)</f>
        <v>3</v>
      </c>
      <c r="Q128" s="125"/>
      <c r="R128" s="68"/>
      <c r="S128" s="63">
        <f t="shared" si="15"/>
        <v>1.8507462686567164</v>
      </c>
      <c r="T128" s="63">
        <f t="shared" si="16"/>
        <v>0</v>
      </c>
      <c r="U128" s="63">
        <f t="shared" si="17"/>
        <v>0.14925373134328357</v>
      </c>
      <c r="V128" s="64">
        <f t="shared" si="18"/>
        <v>1</v>
      </c>
      <c r="W128" s="65"/>
      <c r="X128" s="65" t="str">
        <f t="shared" si="19"/>
        <v/>
      </c>
    </row>
    <row r="129" spans="1:24" ht="41.25" customHeight="1">
      <c r="A129" s="287"/>
      <c r="B129" s="288"/>
      <c r="C129" s="369" t="s">
        <v>400</v>
      </c>
      <c r="D129" s="370" t="s">
        <v>400</v>
      </c>
      <c r="E129" s="370" t="s">
        <v>400</v>
      </c>
      <c r="F129" s="370" t="s">
        <v>400</v>
      </c>
      <c r="G129" s="370" t="s">
        <v>400</v>
      </c>
      <c r="H129" s="370" t="s">
        <v>400</v>
      </c>
      <c r="I129" s="371" t="s">
        <v>400</v>
      </c>
      <c r="J129" s="113">
        <v>2</v>
      </c>
      <c r="K129" s="113">
        <v>36</v>
      </c>
      <c r="L129" s="113">
        <v>32</v>
      </c>
      <c r="M129" s="113">
        <v>4</v>
      </c>
      <c r="N129" s="113"/>
      <c r="O129" s="113" t="s">
        <v>50</v>
      </c>
      <c r="P129" s="44">
        <f>IF(O1="理工科",3,2)</f>
        <v>2</v>
      </c>
      <c r="Q129" s="125"/>
      <c r="R129" s="68"/>
      <c r="S129" s="63">
        <f t="shared" si="15"/>
        <v>1.8823529411764706</v>
      </c>
      <c r="T129" s="63">
        <f t="shared" si="16"/>
        <v>0.11764705882352941</v>
      </c>
      <c r="U129" s="63">
        <f t="shared" si="17"/>
        <v>0</v>
      </c>
      <c r="V129" s="64">
        <f t="shared" si="18"/>
        <v>1</v>
      </c>
      <c r="W129" s="65"/>
      <c r="X129" s="65" t="str">
        <f t="shared" si="19"/>
        <v/>
      </c>
    </row>
    <row r="130" spans="1:24" ht="39.75" customHeight="1">
      <c r="A130" s="287"/>
      <c r="B130" s="288"/>
      <c r="C130" s="369" t="s">
        <v>401</v>
      </c>
      <c r="D130" s="370" t="s">
        <v>401</v>
      </c>
      <c r="E130" s="370" t="s">
        <v>401</v>
      </c>
      <c r="F130" s="370" t="s">
        <v>401</v>
      </c>
      <c r="G130" s="370" t="s">
        <v>401</v>
      </c>
      <c r="H130" s="370" t="s">
        <v>401</v>
      </c>
      <c r="I130" s="371" t="s">
        <v>401</v>
      </c>
      <c r="J130" s="113">
        <v>1.5</v>
      </c>
      <c r="K130" s="113">
        <v>36</v>
      </c>
      <c r="L130" s="113">
        <v>18</v>
      </c>
      <c r="M130" s="113"/>
      <c r="N130" s="113">
        <v>18</v>
      </c>
      <c r="O130" s="113" t="s">
        <v>50</v>
      </c>
      <c r="P130" s="44">
        <f>IF(O1="理工科",4,3)</f>
        <v>3</v>
      </c>
      <c r="Q130" s="125"/>
      <c r="R130" s="68"/>
      <c r="S130" s="63">
        <f t="shared" si="15"/>
        <v>1</v>
      </c>
      <c r="T130" s="63">
        <f t="shared" si="16"/>
        <v>0</v>
      </c>
      <c r="U130" s="63">
        <f t="shared" si="17"/>
        <v>0.5</v>
      </c>
      <c r="V130" s="64">
        <f t="shared" si="18"/>
        <v>1</v>
      </c>
      <c r="W130" s="65"/>
      <c r="X130" s="65" t="str">
        <f t="shared" si="19"/>
        <v/>
      </c>
    </row>
    <row r="131" spans="1:24" ht="31.5" customHeight="1">
      <c r="A131" s="287"/>
      <c r="B131" s="288"/>
      <c r="C131" s="289" t="s">
        <v>402</v>
      </c>
      <c r="D131" s="290" t="s">
        <v>402</v>
      </c>
      <c r="E131" s="290" t="s">
        <v>402</v>
      </c>
      <c r="F131" s="290" t="s">
        <v>402</v>
      </c>
      <c r="G131" s="290" t="s">
        <v>402</v>
      </c>
      <c r="H131" s="290" t="s">
        <v>402</v>
      </c>
      <c r="I131" s="291" t="s">
        <v>402</v>
      </c>
      <c r="J131" s="126">
        <v>1</v>
      </c>
      <c r="K131" s="126">
        <v>18</v>
      </c>
      <c r="L131" s="126">
        <v>10</v>
      </c>
      <c r="M131" s="126"/>
      <c r="N131" s="126">
        <v>8</v>
      </c>
      <c r="O131" s="126" t="s">
        <v>50</v>
      </c>
      <c r="P131" s="48">
        <v>5</v>
      </c>
      <c r="Q131" s="126" t="s">
        <v>403</v>
      </c>
      <c r="R131" s="70"/>
      <c r="S131" s="71">
        <f t="shared" si="15"/>
        <v>0.7142857142857143</v>
      </c>
      <c r="T131" s="71">
        <f t="shared" si="16"/>
        <v>0</v>
      </c>
      <c r="U131" s="71">
        <f t="shared" si="17"/>
        <v>0.2857142857142857</v>
      </c>
      <c r="V131" s="72">
        <f t="shared" si="18"/>
        <v>1</v>
      </c>
      <c r="W131" s="73"/>
      <c r="X131" s="74" t="str">
        <f t="shared" si="19"/>
        <v/>
      </c>
    </row>
    <row r="132" spans="1:24" ht="27.75" customHeight="1">
      <c r="A132" s="287"/>
      <c r="B132" s="288"/>
      <c r="C132" s="289" t="s">
        <v>404</v>
      </c>
      <c r="D132" s="290" t="s">
        <v>404</v>
      </c>
      <c r="E132" s="290" t="s">
        <v>404</v>
      </c>
      <c r="F132" s="290" t="s">
        <v>404</v>
      </c>
      <c r="G132" s="290" t="s">
        <v>404</v>
      </c>
      <c r="H132" s="290" t="s">
        <v>404</v>
      </c>
      <c r="I132" s="291" t="s">
        <v>404</v>
      </c>
      <c r="J132" s="126">
        <v>3</v>
      </c>
      <c r="K132" s="126">
        <v>72</v>
      </c>
      <c r="L132" s="126">
        <v>36</v>
      </c>
      <c r="M132" s="126"/>
      <c r="N132" s="126">
        <v>36</v>
      </c>
      <c r="O132" s="126" t="s">
        <v>50</v>
      </c>
      <c r="P132" s="48">
        <v>5</v>
      </c>
      <c r="Q132" s="126" t="s">
        <v>403</v>
      </c>
      <c r="R132" s="70"/>
      <c r="S132" s="71">
        <f t="shared" si="15"/>
        <v>2</v>
      </c>
      <c r="T132" s="71">
        <f t="shared" si="16"/>
        <v>0</v>
      </c>
      <c r="U132" s="71">
        <f t="shared" si="17"/>
        <v>1</v>
      </c>
      <c r="V132" s="72">
        <f t="shared" si="18"/>
        <v>1</v>
      </c>
      <c r="W132" s="73"/>
      <c r="X132" s="74" t="str">
        <f t="shared" si="19"/>
        <v/>
      </c>
    </row>
    <row r="133" spans="1:24" ht="27.75" customHeight="1">
      <c r="A133" s="287"/>
      <c r="B133" s="288"/>
      <c r="C133" s="289" t="s">
        <v>405</v>
      </c>
      <c r="D133" s="290" t="s">
        <v>405</v>
      </c>
      <c r="E133" s="290" t="s">
        <v>405</v>
      </c>
      <c r="F133" s="290" t="s">
        <v>405</v>
      </c>
      <c r="G133" s="290" t="s">
        <v>405</v>
      </c>
      <c r="H133" s="290" t="s">
        <v>405</v>
      </c>
      <c r="I133" s="291" t="s">
        <v>405</v>
      </c>
      <c r="J133" s="126">
        <v>1</v>
      </c>
      <c r="K133" s="126">
        <v>18</v>
      </c>
      <c r="L133" s="126">
        <v>15</v>
      </c>
      <c r="M133" s="126"/>
      <c r="N133" s="126">
        <v>3</v>
      </c>
      <c r="O133" s="126"/>
      <c r="P133" s="48">
        <v>6</v>
      </c>
      <c r="Q133" s="126" t="s">
        <v>403</v>
      </c>
      <c r="R133" s="70"/>
      <c r="S133" s="71">
        <f t="shared" si="15"/>
        <v>0.90909090909090906</v>
      </c>
      <c r="T133" s="71">
        <f t="shared" si="16"/>
        <v>0</v>
      </c>
      <c r="U133" s="71">
        <f t="shared" si="17"/>
        <v>9.0909090909090912E-2</v>
      </c>
      <c r="V133" s="72" t="str">
        <f t="shared" si="18"/>
        <v/>
      </c>
      <c r="W133" s="73"/>
      <c r="X133" s="74" t="str">
        <f t="shared" si="19"/>
        <v/>
      </c>
    </row>
    <row r="134" spans="1:24" ht="31.5" customHeight="1">
      <c r="A134" s="287"/>
      <c r="B134" s="288"/>
      <c r="C134" s="289"/>
      <c r="D134" s="290"/>
      <c r="E134" s="290"/>
      <c r="F134" s="290"/>
      <c r="G134" s="290"/>
      <c r="H134" s="290"/>
      <c r="I134" s="291"/>
      <c r="J134" s="48"/>
      <c r="K134" s="48"/>
      <c r="L134" s="48"/>
      <c r="M134" s="48"/>
      <c r="N134" s="48"/>
      <c r="O134" s="48"/>
      <c r="P134" s="48"/>
      <c r="Q134" s="47"/>
      <c r="R134" s="70"/>
      <c r="S134" s="75" t="str">
        <f t="shared" si="15"/>
        <v/>
      </c>
      <c r="T134" s="75" t="str">
        <f t="shared" si="16"/>
        <v/>
      </c>
      <c r="U134" s="75" t="str">
        <f t="shared" si="17"/>
        <v/>
      </c>
      <c r="V134" s="76" t="str">
        <f t="shared" si="18"/>
        <v/>
      </c>
      <c r="W134" s="77"/>
      <c r="X134" s="78" t="str">
        <f t="shared" si="19"/>
        <v/>
      </c>
    </row>
    <row r="135" spans="1:24" ht="30" customHeight="1">
      <c r="A135" s="266" t="s">
        <v>61</v>
      </c>
      <c r="B135" s="268"/>
      <c r="C135" s="372"/>
      <c r="D135" s="373"/>
      <c r="E135" s="373"/>
      <c r="F135" s="373"/>
      <c r="G135" s="373"/>
      <c r="H135" s="373"/>
      <c r="I135" s="374"/>
      <c r="J135" s="49">
        <f>SUM(J127:J134)</f>
        <v>11.5</v>
      </c>
      <c r="K135" s="49">
        <f>SUM(K127:K134)</f>
        <v>234</v>
      </c>
      <c r="L135" s="49">
        <f>SUM(L127:L134)</f>
        <v>157</v>
      </c>
      <c r="M135" s="49">
        <f>SUM(M127:M134)</f>
        <v>4</v>
      </c>
      <c r="N135" s="49">
        <f>SUM(N127:N134)</f>
        <v>73</v>
      </c>
      <c r="O135" s="52">
        <f>COUNTIF(O127:O134,"√")</f>
        <v>5</v>
      </c>
      <c r="P135" s="49"/>
      <c r="Q135" s="52"/>
      <c r="R135" s="79"/>
      <c r="S135" s="80">
        <f>SUM(S127:S134)</f>
        <v>9.2655667423007184</v>
      </c>
      <c r="T135" s="80">
        <f>SUM(T127:T134)</f>
        <v>0.11764705882352941</v>
      </c>
      <c r="U135" s="80">
        <f>SUM(U127:U134)</f>
        <v>2.1167861988757508</v>
      </c>
      <c r="V135" s="80"/>
      <c r="W135" s="81"/>
      <c r="X135" s="65" t="str">
        <f>IF(J135&lt;&gt;S135+T135+U135,"学分计算有误！","")</f>
        <v/>
      </c>
    </row>
    <row r="136" spans="1:24" ht="30" customHeight="1">
      <c r="A136" s="375"/>
      <c r="B136" s="376"/>
      <c r="C136" s="369" t="s">
        <v>406</v>
      </c>
      <c r="D136" s="370" t="s">
        <v>406</v>
      </c>
      <c r="E136" s="370" t="s">
        <v>406</v>
      </c>
      <c r="F136" s="370" t="s">
        <v>406</v>
      </c>
      <c r="G136" s="370" t="s">
        <v>406</v>
      </c>
      <c r="H136" s="370" t="s">
        <v>406</v>
      </c>
      <c r="I136" s="371" t="s">
        <v>406</v>
      </c>
      <c r="J136" s="113">
        <v>2</v>
      </c>
      <c r="K136" s="113">
        <v>2</v>
      </c>
      <c r="L136" s="44"/>
      <c r="M136" s="45"/>
      <c r="N136" s="127"/>
      <c r="O136" s="44"/>
      <c r="P136" s="113">
        <v>5</v>
      </c>
      <c r="Q136" s="91"/>
      <c r="R136" s="135"/>
      <c r="S136" s="64"/>
      <c r="T136" s="64"/>
      <c r="U136" s="64"/>
      <c r="V136" s="64" t="str">
        <f>IF(O136="√",1,"")</f>
        <v/>
      </c>
      <c r="W136" s="82"/>
      <c r="X136" s="65" t="str">
        <f>IF(C136&lt;&gt;"",IF(P136="","请填写修读学期！","")&amp;IF(P136&gt;10,"超出修读期限！",""),"")</f>
        <v/>
      </c>
    </row>
    <row r="137" spans="1:24" ht="30" customHeight="1">
      <c r="A137" s="287"/>
      <c r="B137" s="288"/>
      <c r="C137" s="369" t="s">
        <v>407</v>
      </c>
      <c r="D137" s="370" t="s">
        <v>407</v>
      </c>
      <c r="E137" s="370" t="s">
        <v>407</v>
      </c>
      <c r="F137" s="370" t="s">
        <v>407</v>
      </c>
      <c r="G137" s="370" t="s">
        <v>407</v>
      </c>
      <c r="H137" s="370" t="s">
        <v>407</v>
      </c>
      <c r="I137" s="371" t="s">
        <v>407</v>
      </c>
      <c r="J137" s="113">
        <v>2</v>
      </c>
      <c r="K137" s="113">
        <v>2</v>
      </c>
      <c r="L137" s="44"/>
      <c r="M137" s="45"/>
      <c r="N137" s="127"/>
      <c r="O137" s="44"/>
      <c r="P137" s="113">
        <v>6</v>
      </c>
      <c r="Q137" s="91"/>
      <c r="R137" s="135"/>
      <c r="S137" s="64"/>
      <c r="T137" s="64"/>
      <c r="U137" s="64"/>
      <c r="V137" s="64" t="str">
        <f t="shared" ref="V137:V143" si="20">IF(O137="√",1,"")</f>
        <v/>
      </c>
      <c r="W137" s="82"/>
      <c r="X137" s="65" t="str">
        <f t="shared" ref="X137:X143" si="21">IF(C137&lt;&gt;"",IF(P137="","请填写修读学期！","")&amp;IF(P137&gt;10,"超出修读期限！",""),"")</f>
        <v/>
      </c>
    </row>
    <row r="138" spans="1:24" ht="30" customHeight="1">
      <c r="A138" s="287"/>
      <c r="B138" s="288"/>
      <c r="C138" s="369" t="s">
        <v>408</v>
      </c>
      <c r="D138" s="370" t="s">
        <v>408</v>
      </c>
      <c r="E138" s="370" t="s">
        <v>408</v>
      </c>
      <c r="F138" s="370" t="s">
        <v>408</v>
      </c>
      <c r="G138" s="370" t="s">
        <v>408</v>
      </c>
      <c r="H138" s="370" t="s">
        <v>408</v>
      </c>
      <c r="I138" s="371" t="s">
        <v>408</v>
      </c>
      <c r="J138" s="113">
        <v>10</v>
      </c>
      <c r="K138" s="113">
        <v>10</v>
      </c>
      <c r="L138" s="44"/>
      <c r="M138" s="45"/>
      <c r="N138" s="127"/>
      <c r="O138" s="44"/>
      <c r="P138" s="113">
        <v>7</v>
      </c>
      <c r="Q138" s="91"/>
      <c r="R138" s="135"/>
      <c r="S138" s="64"/>
      <c r="T138" s="64"/>
      <c r="U138" s="64"/>
      <c r="V138" s="64" t="str">
        <f t="shared" si="20"/>
        <v/>
      </c>
      <c r="W138" s="82"/>
      <c r="X138" s="65" t="str">
        <f t="shared" si="21"/>
        <v/>
      </c>
    </row>
    <row r="139" spans="1:24" ht="30" customHeight="1">
      <c r="A139" s="287"/>
      <c r="B139" s="288"/>
      <c r="C139" s="369" t="s">
        <v>409</v>
      </c>
      <c r="D139" s="370" t="s">
        <v>409</v>
      </c>
      <c r="E139" s="370" t="s">
        <v>409</v>
      </c>
      <c r="F139" s="370" t="s">
        <v>409</v>
      </c>
      <c r="G139" s="370" t="s">
        <v>409</v>
      </c>
      <c r="H139" s="370" t="s">
        <v>409</v>
      </c>
      <c r="I139" s="371" t="s">
        <v>409</v>
      </c>
      <c r="J139" s="113">
        <v>4</v>
      </c>
      <c r="K139" s="113">
        <v>4</v>
      </c>
      <c r="L139" s="44"/>
      <c r="M139" s="45"/>
      <c r="N139" s="127"/>
      <c r="O139" s="44"/>
      <c r="P139" s="113">
        <v>8</v>
      </c>
      <c r="Q139" s="91"/>
      <c r="R139" s="135"/>
      <c r="S139" s="64"/>
      <c r="T139" s="64"/>
      <c r="U139" s="64"/>
      <c r="V139" s="64" t="str">
        <f t="shared" si="20"/>
        <v/>
      </c>
      <c r="W139" s="82"/>
      <c r="X139" s="65" t="str">
        <f t="shared" si="21"/>
        <v/>
      </c>
    </row>
    <row r="140" spans="1:24" ht="42" customHeight="1">
      <c r="A140" s="287"/>
      <c r="B140" s="288"/>
      <c r="C140" s="369" t="s">
        <v>410</v>
      </c>
      <c r="D140" s="370" t="s">
        <v>410</v>
      </c>
      <c r="E140" s="370" t="s">
        <v>410</v>
      </c>
      <c r="F140" s="370" t="s">
        <v>410</v>
      </c>
      <c r="G140" s="370" t="s">
        <v>410</v>
      </c>
      <c r="H140" s="370" t="s">
        <v>410</v>
      </c>
      <c r="I140" s="371" t="s">
        <v>410</v>
      </c>
      <c r="J140" s="113">
        <v>0.5</v>
      </c>
      <c r="K140" s="113">
        <v>4</v>
      </c>
      <c r="L140" s="128"/>
      <c r="M140" s="128"/>
      <c r="N140" s="128"/>
      <c r="O140" s="44"/>
      <c r="P140" s="113">
        <v>5</v>
      </c>
      <c r="Q140" s="91"/>
      <c r="R140" s="135"/>
      <c r="S140" s="64"/>
      <c r="T140" s="64"/>
      <c r="U140" s="64"/>
      <c r="V140" s="64" t="str">
        <f t="shared" si="20"/>
        <v/>
      </c>
      <c r="W140" s="82"/>
      <c r="X140" s="65" t="str">
        <f t="shared" si="21"/>
        <v/>
      </c>
    </row>
    <row r="141" spans="1:24" ht="42" customHeight="1">
      <c r="A141" s="287"/>
      <c r="B141" s="288"/>
      <c r="C141" s="289"/>
      <c r="D141" s="290"/>
      <c r="E141" s="290"/>
      <c r="F141" s="290"/>
      <c r="G141" s="290"/>
      <c r="H141" s="290"/>
      <c r="I141" s="291"/>
      <c r="J141" s="126"/>
      <c r="K141" s="126"/>
      <c r="L141" s="69"/>
      <c r="M141" s="69"/>
      <c r="N141" s="69"/>
      <c r="O141" s="48"/>
      <c r="P141" s="126"/>
      <c r="Q141" s="47"/>
      <c r="R141" s="84"/>
      <c r="S141" s="72"/>
      <c r="T141" s="72"/>
      <c r="U141" s="72"/>
      <c r="V141" s="72" t="str">
        <f t="shared" si="20"/>
        <v/>
      </c>
      <c r="W141" s="70"/>
      <c r="X141" s="74" t="str">
        <f t="shared" si="21"/>
        <v/>
      </c>
    </row>
    <row r="142" spans="1:24" ht="42" customHeight="1">
      <c r="A142" s="287"/>
      <c r="B142" s="288"/>
      <c r="C142" s="289"/>
      <c r="D142" s="290"/>
      <c r="E142" s="290"/>
      <c r="F142" s="290"/>
      <c r="G142" s="290"/>
      <c r="H142" s="290"/>
      <c r="I142" s="291"/>
      <c r="J142" s="126"/>
      <c r="K142" s="126"/>
      <c r="L142" s="69"/>
      <c r="M142" s="69"/>
      <c r="N142" s="69"/>
      <c r="O142" s="48"/>
      <c r="P142" s="126"/>
      <c r="Q142" s="47"/>
      <c r="R142" s="84"/>
      <c r="S142" s="72"/>
      <c r="T142" s="72"/>
      <c r="U142" s="72"/>
      <c r="V142" s="72" t="str">
        <f t="shared" si="20"/>
        <v/>
      </c>
      <c r="W142" s="70"/>
      <c r="X142" s="74" t="str">
        <f t="shared" si="21"/>
        <v/>
      </c>
    </row>
    <row r="143" spans="1:24" ht="42" customHeight="1">
      <c r="A143" s="287"/>
      <c r="B143" s="288"/>
      <c r="C143" s="289"/>
      <c r="D143" s="290"/>
      <c r="E143" s="290"/>
      <c r="F143" s="290"/>
      <c r="G143" s="290"/>
      <c r="H143" s="290"/>
      <c r="I143" s="291"/>
      <c r="J143" s="126"/>
      <c r="K143" s="126"/>
      <c r="L143" s="69"/>
      <c r="M143" s="69"/>
      <c r="N143" s="69"/>
      <c r="O143" s="48"/>
      <c r="P143" s="126"/>
      <c r="Q143" s="47"/>
      <c r="R143" s="84"/>
      <c r="S143" s="76"/>
      <c r="T143" s="76"/>
      <c r="U143" s="76"/>
      <c r="V143" s="76" t="str">
        <f t="shared" si="20"/>
        <v/>
      </c>
      <c r="W143" s="85"/>
      <c r="X143" s="78" t="str">
        <f t="shared" si="21"/>
        <v/>
      </c>
    </row>
    <row r="144" spans="1:24" ht="30" customHeight="1">
      <c r="A144" s="266" t="s">
        <v>61</v>
      </c>
      <c r="B144" s="268"/>
      <c r="C144" s="372"/>
      <c r="D144" s="373"/>
      <c r="E144" s="373"/>
      <c r="F144" s="373"/>
      <c r="G144" s="373"/>
      <c r="H144" s="373"/>
      <c r="I144" s="374"/>
      <c r="J144" s="35">
        <f>SUM(J136:J140)</f>
        <v>18.5</v>
      </c>
      <c r="K144" s="49">
        <f>SUM(K136:K140)</f>
        <v>22</v>
      </c>
      <c r="L144" s="49">
        <f>SUM(L136:L140)</f>
        <v>0</v>
      </c>
      <c r="M144" s="49">
        <f>SUM(M136:M140)</f>
        <v>0</v>
      </c>
      <c r="N144" s="49">
        <f>SUM(N136:N140)</f>
        <v>0</v>
      </c>
      <c r="O144" s="52">
        <f>COUNTIF(O136:O140,"√")</f>
        <v>0</v>
      </c>
      <c r="P144" s="49"/>
      <c r="Q144" s="52"/>
      <c r="R144" s="79"/>
      <c r="S144" s="79"/>
      <c r="T144" s="79"/>
      <c r="U144" s="79"/>
      <c r="V144" s="79"/>
      <c r="W144" s="81"/>
      <c r="X144" s="81"/>
    </row>
    <row r="145" spans="1:24" ht="21.95" customHeight="1">
      <c r="A145" s="379" t="str">
        <f>"    2.选修课（"&amp;SUMIF(R148:R158,"&lt;=10",J148:J158)&amp;"）学分"</f>
        <v xml:space="preserve">    2.选修课（5）学分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87"/>
      <c r="S145" s="87"/>
      <c r="T145" s="87"/>
      <c r="U145" s="87"/>
      <c r="V145" s="87"/>
      <c r="W145" s="87"/>
      <c r="X145" s="59"/>
    </row>
    <row r="146" spans="1:24" ht="18.75" customHeight="1">
      <c r="A146" s="281" t="s">
        <v>27</v>
      </c>
      <c r="B146" s="283"/>
      <c r="C146" s="281" t="s">
        <v>28</v>
      </c>
      <c r="D146" s="282"/>
      <c r="E146" s="282"/>
      <c r="F146" s="282"/>
      <c r="G146" s="282"/>
      <c r="H146" s="282"/>
      <c r="I146" s="283"/>
      <c r="J146" s="279" t="s">
        <v>29</v>
      </c>
      <c r="K146" s="266" t="s">
        <v>30</v>
      </c>
      <c r="L146" s="267"/>
      <c r="M146" s="267"/>
      <c r="N146" s="268"/>
      <c r="O146" s="279" t="s">
        <v>31</v>
      </c>
      <c r="P146" s="343" t="s">
        <v>32</v>
      </c>
      <c r="Q146" s="279" t="s">
        <v>33</v>
      </c>
      <c r="R146" s="384" t="s">
        <v>34</v>
      </c>
      <c r="S146" s="352" t="s">
        <v>35</v>
      </c>
      <c r="T146" s="352" t="s">
        <v>36</v>
      </c>
      <c r="U146" s="352" t="s">
        <v>37</v>
      </c>
      <c r="V146" s="352" t="s">
        <v>38</v>
      </c>
      <c r="W146" s="352" t="s">
        <v>39</v>
      </c>
      <c r="X146" s="352" t="s">
        <v>40</v>
      </c>
    </row>
    <row r="147" spans="1:24" ht="30" customHeight="1">
      <c r="A147" s="284"/>
      <c r="B147" s="286"/>
      <c r="C147" s="284"/>
      <c r="D147" s="285"/>
      <c r="E147" s="285"/>
      <c r="F147" s="285"/>
      <c r="G147" s="285"/>
      <c r="H147" s="285"/>
      <c r="I147" s="286"/>
      <c r="J147" s="280"/>
      <c r="K147" s="34" t="s">
        <v>41</v>
      </c>
      <c r="L147" s="34" t="s">
        <v>42</v>
      </c>
      <c r="M147" s="34" t="s">
        <v>43</v>
      </c>
      <c r="N147" s="34" t="s">
        <v>44</v>
      </c>
      <c r="O147" s="280"/>
      <c r="P147" s="344"/>
      <c r="Q147" s="280"/>
      <c r="R147" s="385"/>
      <c r="S147" s="353"/>
      <c r="T147" s="353"/>
      <c r="U147" s="353"/>
      <c r="V147" s="353"/>
      <c r="W147" s="353"/>
      <c r="X147" s="353"/>
    </row>
    <row r="148" spans="1:24" ht="42" customHeight="1">
      <c r="A148" s="377"/>
      <c r="B148" s="378"/>
      <c r="C148" s="369" t="s">
        <v>411</v>
      </c>
      <c r="D148" s="370" t="s">
        <v>411</v>
      </c>
      <c r="E148" s="370" t="s">
        <v>411</v>
      </c>
      <c r="F148" s="370" t="s">
        <v>411</v>
      </c>
      <c r="G148" s="370" t="s">
        <v>411</v>
      </c>
      <c r="H148" s="370" t="s">
        <v>411</v>
      </c>
      <c r="I148" s="371" t="s">
        <v>411</v>
      </c>
      <c r="J148" s="113">
        <v>1</v>
      </c>
      <c r="K148" s="113">
        <v>18</v>
      </c>
      <c r="L148" s="44">
        <v>18</v>
      </c>
      <c r="M148" s="44"/>
      <c r="N148" s="44"/>
      <c r="O148" s="44"/>
      <c r="P148" s="44"/>
      <c r="Q148" s="136" t="s">
        <v>412</v>
      </c>
      <c r="R148" s="137">
        <v>4</v>
      </c>
      <c r="S148" s="63">
        <f t="shared" ref="S148:S158" si="22">IF(ISERROR(J148*L148/(L148+M148/2+N148/2)),"",J148*L148/(L148+M148/2+N148/2))</f>
        <v>1</v>
      </c>
      <c r="T148" s="63">
        <f t="shared" ref="T148:T158" si="23">IF(ISERROR(J148*M148/2/(L148+M148/2+N148/2)),"",J148*M148/2/(L148+M148/2+N148/2))</f>
        <v>0</v>
      </c>
      <c r="U148" s="63">
        <f t="shared" ref="U148:U158" si="24">IF(ISERROR(J148*N148/2/(L148+M148/2+N148/2)),"",J148*N148/2/(L148+M148/2+N148/2))</f>
        <v>0</v>
      </c>
      <c r="V148" s="64" t="str">
        <f t="shared" ref="V148:V158" si="25">IF(O148="√",1,"")</f>
        <v/>
      </c>
      <c r="W148" s="65"/>
      <c r="X148" s="65" t="str">
        <f>IF(J148="","",IF(K148="","学时没填，影响学分统计！",""))</f>
        <v/>
      </c>
    </row>
    <row r="149" spans="1:24" ht="38.25" customHeight="1">
      <c r="A149" s="377"/>
      <c r="B149" s="378"/>
      <c r="C149" s="369" t="s">
        <v>413</v>
      </c>
      <c r="D149" s="370" t="s">
        <v>413</v>
      </c>
      <c r="E149" s="370" t="s">
        <v>413</v>
      </c>
      <c r="F149" s="370" t="s">
        <v>413</v>
      </c>
      <c r="G149" s="370" t="s">
        <v>413</v>
      </c>
      <c r="H149" s="370" t="s">
        <v>413</v>
      </c>
      <c r="I149" s="371" t="s">
        <v>413</v>
      </c>
      <c r="J149" s="113">
        <v>1</v>
      </c>
      <c r="K149" s="113">
        <v>18</v>
      </c>
      <c r="L149" s="44">
        <v>18</v>
      </c>
      <c r="M149" s="44"/>
      <c r="N149" s="44"/>
      <c r="O149" s="44"/>
      <c r="P149" s="44"/>
      <c r="Q149" s="136" t="s">
        <v>412</v>
      </c>
      <c r="R149" s="137">
        <v>5</v>
      </c>
      <c r="S149" s="63">
        <f t="shared" si="22"/>
        <v>1</v>
      </c>
      <c r="T149" s="63">
        <f t="shared" si="23"/>
        <v>0</v>
      </c>
      <c r="U149" s="63">
        <f t="shared" si="24"/>
        <v>0</v>
      </c>
      <c r="V149" s="64" t="str">
        <f t="shared" si="25"/>
        <v/>
      </c>
      <c r="W149" s="65"/>
      <c r="X149" s="65" t="str">
        <f t="shared" ref="X149:X158" si="26">IF(J149="","",IF(K149="","学时没填，影响学分统计！",""))</f>
        <v/>
      </c>
    </row>
    <row r="150" spans="1:24" ht="37.5" customHeight="1">
      <c r="A150" s="377"/>
      <c r="B150" s="378"/>
      <c r="C150" s="369" t="s">
        <v>414</v>
      </c>
      <c r="D150" s="370" t="s">
        <v>414</v>
      </c>
      <c r="E150" s="370" t="s">
        <v>414</v>
      </c>
      <c r="F150" s="370" t="s">
        <v>414</v>
      </c>
      <c r="G150" s="370" t="s">
        <v>414</v>
      </c>
      <c r="H150" s="370" t="s">
        <v>414</v>
      </c>
      <c r="I150" s="371" t="s">
        <v>414</v>
      </c>
      <c r="J150" s="113">
        <v>1</v>
      </c>
      <c r="K150" s="113">
        <v>18</v>
      </c>
      <c r="L150" s="44">
        <v>18</v>
      </c>
      <c r="M150" s="44"/>
      <c r="N150" s="44"/>
      <c r="O150" s="44"/>
      <c r="P150" s="44"/>
      <c r="Q150" s="136" t="s">
        <v>412</v>
      </c>
      <c r="R150" s="137"/>
      <c r="S150" s="63">
        <f t="shared" si="22"/>
        <v>1</v>
      </c>
      <c r="T150" s="63">
        <f t="shared" si="23"/>
        <v>0</v>
      </c>
      <c r="U150" s="63">
        <f t="shared" si="24"/>
        <v>0</v>
      </c>
      <c r="V150" s="64" t="str">
        <f t="shared" si="25"/>
        <v/>
      </c>
      <c r="W150" s="65"/>
      <c r="X150" s="65" t="str">
        <f t="shared" si="26"/>
        <v/>
      </c>
    </row>
    <row r="151" spans="1:24" ht="41.25" customHeight="1">
      <c r="A151" s="377"/>
      <c r="B151" s="378"/>
      <c r="C151" s="369" t="s">
        <v>415</v>
      </c>
      <c r="D151" s="370" t="s">
        <v>415</v>
      </c>
      <c r="E151" s="370" t="s">
        <v>415</v>
      </c>
      <c r="F151" s="370" t="s">
        <v>415</v>
      </c>
      <c r="G151" s="370" t="s">
        <v>415</v>
      </c>
      <c r="H151" s="370" t="s">
        <v>415</v>
      </c>
      <c r="I151" s="371" t="s">
        <v>415</v>
      </c>
      <c r="J151" s="113">
        <v>1</v>
      </c>
      <c r="K151" s="113">
        <v>18</v>
      </c>
      <c r="L151" s="44">
        <v>18</v>
      </c>
      <c r="M151" s="44"/>
      <c r="N151" s="44"/>
      <c r="O151" s="44"/>
      <c r="P151" s="129"/>
      <c r="Q151" s="138" t="s">
        <v>412</v>
      </c>
      <c r="R151" s="137">
        <v>7</v>
      </c>
      <c r="S151" s="63">
        <f t="shared" si="22"/>
        <v>1</v>
      </c>
      <c r="T151" s="63">
        <f t="shared" si="23"/>
        <v>0</v>
      </c>
      <c r="U151" s="63">
        <f t="shared" si="24"/>
        <v>0</v>
      </c>
      <c r="V151" s="64" t="str">
        <f t="shared" si="25"/>
        <v/>
      </c>
      <c r="W151" s="65"/>
      <c r="X151" s="65" t="str">
        <f t="shared" si="26"/>
        <v/>
      </c>
    </row>
    <row r="152" spans="1:24" ht="30" customHeight="1">
      <c r="A152" s="377"/>
      <c r="B152" s="378"/>
      <c r="C152" s="369" t="s">
        <v>416</v>
      </c>
      <c r="D152" s="370" t="s">
        <v>416</v>
      </c>
      <c r="E152" s="370" t="s">
        <v>416</v>
      </c>
      <c r="F152" s="370" t="s">
        <v>416</v>
      </c>
      <c r="G152" s="370" t="s">
        <v>416</v>
      </c>
      <c r="H152" s="370" t="s">
        <v>416</v>
      </c>
      <c r="I152" s="371" t="s">
        <v>416</v>
      </c>
      <c r="J152" s="113">
        <v>1</v>
      </c>
      <c r="K152" s="113">
        <v>18</v>
      </c>
      <c r="L152" s="44">
        <v>18</v>
      </c>
      <c r="M152" s="44"/>
      <c r="N152" s="44"/>
      <c r="O152" s="44"/>
      <c r="P152" s="129"/>
      <c r="Q152" s="138" t="s">
        <v>412</v>
      </c>
      <c r="R152" s="137"/>
      <c r="S152" s="63">
        <f t="shared" si="22"/>
        <v>1</v>
      </c>
      <c r="T152" s="63">
        <f t="shared" si="23"/>
        <v>0</v>
      </c>
      <c r="U152" s="63">
        <f t="shared" si="24"/>
        <v>0</v>
      </c>
      <c r="V152" s="64" t="str">
        <f t="shared" si="25"/>
        <v/>
      </c>
      <c r="W152" s="65"/>
      <c r="X152" s="65" t="str">
        <f t="shared" si="26"/>
        <v/>
      </c>
    </row>
    <row r="153" spans="1:24" ht="30" customHeight="1">
      <c r="A153" s="377"/>
      <c r="B153" s="378"/>
      <c r="C153" s="289" t="s">
        <v>417</v>
      </c>
      <c r="D153" s="290"/>
      <c r="E153" s="290"/>
      <c r="F153" s="290"/>
      <c r="G153" s="290"/>
      <c r="H153" s="290"/>
      <c r="I153" s="291"/>
      <c r="J153" s="48">
        <v>1</v>
      </c>
      <c r="K153" s="48">
        <v>18</v>
      </c>
      <c r="L153" s="48">
        <v>18</v>
      </c>
      <c r="M153" s="48"/>
      <c r="N153" s="48"/>
      <c r="O153" s="48"/>
      <c r="P153" s="130"/>
      <c r="Q153" s="114"/>
      <c r="R153" s="115"/>
      <c r="S153" s="71">
        <f t="shared" si="22"/>
        <v>1</v>
      </c>
      <c r="T153" s="71">
        <f t="shared" si="23"/>
        <v>0</v>
      </c>
      <c r="U153" s="71">
        <f t="shared" si="24"/>
        <v>0</v>
      </c>
      <c r="V153" s="72" t="str">
        <f t="shared" si="25"/>
        <v/>
      </c>
      <c r="W153" s="73"/>
      <c r="X153" s="74" t="str">
        <f t="shared" si="26"/>
        <v/>
      </c>
    </row>
    <row r="154" spans="1:24" ht="30" customHeight="1">
      <c r="A154" s="377"/>
      <c r="B154" s="378"/>
      <c r="C154" s="289" t="s">
        <v>418</v>
      </c>
      <c r="D154" s="290"/>
      <c r="E154" s="290"/>
      <c r="F154" s="290"/>
      <c r="G154" s="290"/>
      <c r="H154" s="290"/>
      <c r="I154" s="291"/>
      <c r="J154" s="48">
        <v>1</v>
      </c>
      <c r="K154" s="48">
        <v>18</v>
      </c>
      <c r="L154" s="48">
        <v>18</v>
      </c>
      <c r="M154" s="48"/>
      <c r="N154" s="48"/>
      <c r="O154" s="48"/>
      <c r="P154" s="130"/>
      <c r="Q154" s="114"/>
      <c r="R154" s="115"/>
      <c r="S154" s="71">
        <f t="shared" si="22"/>
        <v>1</v>
      </c>
      <c r="T154" s="71">
        <f t="shared" si="23"/>
        <v>0</v>
      </c>
      <c r="U154" s="71">
        <f t="shared" si="24"/>
        <v>0</v>
      </c>
      <c r="V154" s="72" t="str">
        <f t="shared" si="25"/>
        <v/>
      </c>
      <c r="W154" s="73"/>
      <c r="X154" s="74" t="str">
        <f t="shared" si="26"/>
        <v/>
      </c>
    </row>
    <row r="155" spans="1:24" ht="30" customHeight="1">
      <c r="A155" s="377"/>
      <c r="B155" s="378"/>
      <c r="C155" s="289" t="s">
        <v>419</v>
      </c>
      <c r="D155" s="290"/>
      <c r="E155" s="290"/>
      <c r="F155" s="290"/>
      <c r="G155" s="290"/>
      <c r="H155" s="290"/>
      <c r="I155" s="291"/>
      <c r="J155" s="48">
        <v>1</v>
      </c>
      <c r="K155" s="48">
        <v>18</v>
      </c>
      <c r="L155" s="48">
        <v>18</v>
      </c>
      <c r="M155" s="48"/>
      <c r="N155" s="48"/>
      <c r="O155" s="46" t="s">
        <v>50</v>
      </c>
      <c r="P155" s="130"/>
      <c r="Q155" s="114"/>
      <c r="R155" s="115">
        <v>6</v>
      </c>
      <c r="S155" s="71">
        <f t="shared" si="22"/>
        <v>1</v>
      </c>
      <c r="T155" s="71">
        <f t="shared" si="23"/>
        <v>0</v>
      </c>
      <c r="U155" s="71">
        <f t="shared" si="24"/>
        <v>0</v>
      </c>
      <c r="V155" s="72">
        <f t="shared" si="25"/>
        <v>1</v>
      </c>
      <c r="W155" s="73"/>
      <c r="X155" s="74" t="str">
        <f t="shared" si="26"/>
        <v/>
      </c>
    </row>
    <row r="156" spans="1:24" ht="43.5" customHeight="1">
      <c r="A156" s="377"/>
      <c r="B156" s="378"/>
      <c r="C156" s="289" t="s">
        <v>420</v>
      </c>
      <c r="D156" s="290"/>
      <c r="E156" s="290"/>
      <c r="F156" s="290"/>
      <c r="G156" s="290"/>
      <c r="H156" s="290"/>
      <c r="I156" s="291"/>
      <c r="J156" s="48">
        <v>1</v>
      </c>
      <c r="K156" s="48">
        <v>18</v>
      </c>
      <c r="L156" s="48">
        <v>18</v>
      </c>
      <c r="M156" s="46"/>
      <c r="N156" s="46"/>
      <c r="O156" s="46"/>
      <c r="P156" s="46"/>
      <c r="Q156" s="139"/>
      <c r="R156" s="115"/>
      <c r="S156" s="71">
        <f t="shared" si="22"/>
        <v>1</v>
      </c>
      <c r="T156" s="71">
        <f t="shared" si="23"/>
        <v>0</v>
      </c>
      <c r="U156" s="71">
        <f t="shared" si="24"/>
        <v>0</v>
      </c>
      <c r="V156" s="72" t="str">
        <f t="shared" si="25"/>
        <v/>
      </c>
      <c r="W156" s="73"/>
      <c r="X156" s="74" t="str">
        <f t="shared" si="26"/>
        <v/>
      </c>
    </row>
    <row r="157" spans="1:24" ht="30" customHeight="1">
      <c r="A157" s="377"/>
      <c r="B157" s="378"/>
      <c r="C157" s="289" t="s">
        <v>421</v>
      </c>
      <c r="D157" s="290"/>
      <c r="E157" s="290"/>
      <c r="F157" s="290"/>
      <c r="G157" s="290"/>
      <c r="H157" s="290"/>
      <c r="I157" s="291"/>
      <c r="J157" s="48">
        <v>1</v>
      </c>
      <c r="K157" s="48">
        <v>18</v>
      </c>
      <c r="L157" s="48">
        <v>18</v>
      </c>
      <c r="M157" s="46"/>
      <c r="N157" s="46"/>
      <c r="O157" s="46"/>
      <c r="P157" s="46"/>
      <c r="Q157" s="139"/>
      <c r="R157" s="115"/>
      <c r="S157" s="71">
        <f t="shared" si="22"/>
        <v>1</v>
      </c>
      <c r="T157" s="71">
        <f t="shared" si="23"/>
        <v>0</v>
      </c>
      <c r="U157" s="71">
        <f t="shared" si="24"/>
        <v>0</v>
      </c>
      <c r="V157" s="72" t="str">
        <f t="shared" si="25"/>
        <v/>
      </c>
      <c r="W157" s="73"/>
      <c r="X157" s="74" t="str">
        <f t="shared" si="26"/>
        <v/>
      </c>
    </row>
    <row r="158" spans="1:24" ht="30" customHeight="1">
      <c r="A158" s="377"/>
      <c r="B158" s="378"/>
      <c r="C158" s="289" t="s">
        <v>422</v>
      </c>
      <c r="D158" s="290"/>
      <c r="E158" s="290"/>
      <c r="F158" s="290"/>
      <c r="G158" s="290"/>
      <c r="H158" s="290"/>
      <c r="I158" s="291"/>
      <c r="J158" s="48">
        <v>1</v>
      </c>
      <c r="K158" s="48">
        <v>18</v>
      </c>
      <c r="L158" s="48">
        <v>18</v>
      </c>
      <c r="M158" s="46"/>
      <c r="N158" s="46"/>
      <c r="O158" s="46"/>
      <c r="P158" s="46"/>
      <c r="Q158" s="139"/>
      <c r="R158" s="115">
        <v>5</v>
      </c>
      <c r="S158" s="75">
        <f t="shared" si="22"/>
        <v>1</v>
      </c>
      <c r="T158" s="75">
        <f t="shared" si="23"/>
        <v>0</v>
      </c>
      <c r="U158" s="75">
        <f t="shared" si="24"/>
        <v>0</v>
      </c>
      <c r="V158" s="76" t="str">
        <f t="shared" si="25"/>
        <v/>
      </c>
      <c r="W158" s="77"/>
      <c r="X158" s="78" t="str">
        <f t="shared" si="26"/>
        <v/>
      </c>
    </row>
    <row r="159" spans="1:24" ht="36" customHeight="1">
      <c r="A159" s="266" t="s">
        <v>61</v>
      </c>
      <c r="B159" s="268"/>
      <c r="C159" s="372" t="s">
        <v>423</v>
      </c>
      <c r="D159" s="373"/>
      <c r="E159" s="373"/>
      <c r="F159" s="373"/>
      <c r="G159" s="373"/>
      <c r="H159" s="373"/>
      <c r="I159" s="374"/>
      <c r="J159" s="95">
        <v>5</v>
      </c>
      <c r="K159" s="52"/>
      <c r="L159" s="52"/>
      <c r="M159" s="52"/>
      <c r="N159" s="52"/>
      <c r="O159" s="35">
        <f>COUNTIF(O153:O158,"√")</f>
        <v>1</v>
      </c>
      <c r="P159" s="53"/>
      <c r="Q159" s="52"/>
      <c r="R159" s="81"/>
      <c r="S159" s="81"/>
      <c r="T159" s="81"/>
      <c r="U159" s="81"/>
      <c r="V159" s="81"/>
      <c r="W159" s="81"/>
      <c r="X159" s="89" t="str">
        <f>IF(SUMIF(R148:R158,"&gt;0",J148:J158)=J159,"","计划学分与实际学分不符")</f>
        <v/>
      </c>
    </row>
    <row r="160" spans="1:24" ht="21.95" customHeight="1">
      <c r="A160" s="360" t="str">
        <f>"    （五）专业教育课程平台（"&amp;J172+J177+SUMIF(R181:R193,"&lt;=10",J181:J193)&amp;"学分）"</f>
        <v xml:space="preserve">    （五）专业教育课程平台（54学分）</v>
      </c>
      <c r="B160" s="360"/>
      <c r="C160" s="360"/>
      <c r="D160" s="360"/>
      <c r="E160" s="360"/>
      <c r="F160" s="360"/>
      <c r="G160" s="360"/>
      <c r="H160" s="360"/>
      <c r="I160" s="360"/>
      <c r="J160" s="360"/>
      <c r="K160" s="360"/>
      <c r="L160" s="360"/>
      <c r="M160" s="360"/>
      <c r="N160" s="360"/>
      <c r="O160" s="360"/>
      <c r="P160" s="360"/>
      <c r="Q160" s="360"/>
      <c r="R160" s="90"/>
      <c r="S160" s="90"/>
      <c r="T160" s="90"/>
      <c r="U160" s="90"/>
      <c r="V160" s="90"/>
      <c r="W160" s="90"/>
      <c r="X160" s="59"/>
    </row>
    <row r="161" spans="1:24" ht="21.95" customHeight="1">
      <c r="A161" s="360" t="str">
        <f>"    1.必修课（"&amp;J172+J177&amp;"）学分"</f>
        <v xml:space="preserve">    1.必修课（41）学分</v>
      </c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60"/>
      <c r="S161" s="60"/>
      <c r="T161" s="60"/>
      <c r="U161" s="60"/>
      <c r="V161" s="60"/>
      <c r="W161" s="60"/>
      <c r="X161" s="59"/>
    </row>
    <row r="162" spans="1:24" ht="18.75" customHeight="1">
      <c r="A162" s="261" t="s">
        <v>27</v>
      </c>
      <c r="B162" s="261"/>
      <c r="C162" s="261" t="s">
        <v>28</v>
      </c>
      <c r="D162" s="261"/>
      <c r="E162" s="261"/>
      <c r="F162" s="261"/>
      <c r="G162" s="261"/>
      <c r="H162" s="261"/>
      <c r="I162" s="261"/>
      <c r="J162" s="261" t="s">
        <v>29</v>
      </c>
      <c r="K162" s="262" t="s">
        <v>30</v>
      </c>
      <c r="L162" s="262"/>
      <c r="M162" s="262"/>
      <c r="N162" s="262"/>
      <c r="O162" s="261" t="s">
        <v>31</v>
      </c>
      <c r="P162" s="342" t="s">
        <v>32</v>
      </c>
      <c r="Q162" s="261" t="s">
        <v>33</v>
      </c>
      <c r="R162" s="346" t="s">
        <v>34</v>
      </c>
      <c r="S162" s="348" t="s">
        <v>35</v>
      </c>
      <c r="T162" s="348" t="s">
        <v>36</v>
      </c>
      <c r="U162" s="348" t="s">
        <v>37</v>
      </c>
      <c r="V162" s="348" t="s">
        <v>38</v>
      </c>
      <c r="W162" s="348" t="s">
        <v>39</v>
      </c>
      <c r="X162" s="348" t="s">
        <v>40</v>
      </c>
    </row>
    <row r="163" spans="1:24" ht="30" customHeight="1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34" t="s">
        <v>41</v>
      </c>
      <c r="L163" s="34" t="s">
        <v>42</v>
      </c>
      <c r="M163" s="34" t="s">
        <v>43</v>
      </c>
      <c r="N163" s="34" t="s">
        <v>44</v>
      </c>
      <c r="O163" s="261"/>
      <c r="P163" s="342"/>
      <c r="Q163" s="261"/>
      <c r="R163" s="346"/>
      <c r="S163" s="348"/>
      <c r="T163" s="348"/>
      <c r="U163" s="348"/>
      <c r="V163" s="348"/>
      <c r="W163" s="348"/>
      <c r="X163" s="348"/>
    </row>
    <row r="164" spans="1:24" ht="30" customHeight="1">
      <c r="A164" s="276"/>
      <c r="B164" s="276"/>
      <c r="C164" s="264" t="s">
        <v>372</v>
      </c>
      <c r="D164" s="264"/>
      <c r="E164" s="264"/>
      <c r="F164" s="264"/>
      <c r="G164" s="264"/>
      <c r="H164" s="264"/>
      <c r="I164" s="264"/>
      <c r="J164" s="46">
        <v>3</v>
      </c>
      <c r="K164" s="46">
        <v>54</v>
      </c>
      <c r="L164" s="46">
        <v>54</v>
      </c>
      <c r="M164" s="46"/>
      <c r="N164" s="46"/>
      <c r="O164" s="46" t="s">
        <v>50</v>
      </c>
      <c r="P164" s="46">
        <v>2</v>
      </c>
      <c r="Q164" s="140"/>
      <c r="R164" s="70"/>
      <c r="S164" s="71">
        <f t="shared" ref="S164:S171" si="27">IF(ISERROR(J164*L164/(L164+M164/2+N164/2)),"",J164*L164/(L164+M164/2+N164/2))</f>
        <v>3</v>
      </c>
      <c r="T164" s="71">
        <f t="shared" ref="T164:T171" si="28">IF(ISERROR(J164*M164/2/(L164+M164/2+N164/2)),"",J164*M164/2/(L164+M164/2+N164/2))</f>
        <v>0</v>
      </c>
      <c r="U164" s="71">
        <f t="shared" ref="U164:U171" si="29">IF(ISERROR(J164*N164/2/(L164+M164/2+N164/2)),"",J164*N164/2/(L164+M164/2+N164/2))</f>
        <v>0</v>
      </c>
      <c r="V164" s="72">
        <f t="shared" ref="V164:V171" si="30">IF(O164="√",1,"")</f>
        <v>1</v>
      </c>
      <c r="W164" s="73"/>
      <c r="X164" s="74" t="str">
        <f t="shared" ref="X164:X171" si="31">IF(ISERROR(IF(K164&lt;&gt;L164+M164+N164,"学时计算有误！","")&amp;IF(P164="","请填写修读学期！","")&amp;IF(P164&gt;10,"超出修读期限！","")&amp;IF(J164&lt;&gt;S164+T164+U164,"学分计算有误！","")),"",IF(K164&lt;&gt;L164+M164+N164,"学时计算有误！","")&amp;IF(P164="","请填写修读学期！","")&amp;IF(P164&gt;10,"超出修读期限！","")&amp;IF(J164&lt;&gt;S164+T164+U164,"学分计算有误！",""))</f>
        <v/>
      </c>
    </row>
    <row r="165" spans="1:24" ht="36.75" customHeight="1">
      <c r="A165" s="276"/>
      <c r="B165" s="276"/>
      <c r="C165" s="264" t="s">
        <v>373</v>
      </c>
      <c r="D165" s="264"/>
      <c r="E165" s="264"/>
      <c r="F165" s="264"/>
      <c r="G165" s="264"/>
      <c r="H165" s="264"/>
      <c r="I165" s="264"/>
      <c r="J165" s="46">
        <v>2</v>
      </c>
      <c r="K165" s="46">
        <v>32</v>
      </c>
      <c r="L165" s="46">
        <v>20</v>
      </c>
      <c r="M165" s="46"/>
      <c r="N165" s="46">
        <v>12</v>
      </c>
      <c r="O165" s="46"/>
      <c r="P165" s="46">
        <v>3</v>
      </c>
      <c r="Q165" s="140"/>
      <c r="R165" s="70"/>
      <c r="S165" s="71">
        <f t="shared" si="27"/>
        <v>1.5384615384615385</v>
      </c>
      <c r="T165" s="71">
        <f t="shared" si="28"/>
        <v>0</v>
      </c>
      <c r="U165" s="71">
        <f t="shared" si="29"/>
        <v>0.46153846153846156</v>
      </c>
      <c r="V165" s="72" t="str">
        <f t="shared" si="30"/>
        <v/>
      </c>
      <c r="W165" s="73"/>
      <c r="X165" s="74" t="str">
        <f t="shared" si="31"/>
        <v/>
      </c>
    </row>
    <row r="166" spans="1:24" ht="30.75" customHeight="1">
      <c r="A166" s="276"/>
      <c r="B166" s="276"/>
      <c r="C166" s="264" t="s">
        <v>374</v>
      </c>
      <c r="D166" s="264"/>
      <c r="E166" s="264"/>
      <c r="F166" s="264"/>
      <c r="G166" s="264"/>
      <c r="H166" s="264"/>
      <c r="I166" s="264"/>
      <c r="J166" s="46">
        <v>4</v>
      </c>
      <c r="K166" s="46">
        <v>72</v>
      </c>
      <c r="L166" s="46">
        <v>54</v>
      </c>
      <c r="M166" s="46"/>
      <c r="N166" s="46">
        <v>18</v>
      </c>
      <c r="O166" s="46" t="s">
        <v>50</v>
      </c>
      <c r="P166" s="46">
        <v>3</v>
      </c>
      <c r="Q166" s="140"/>
      <c r="R166" s="70"/>
      <c r="S166" s="71">
        <f t="shared" si="27"/>
        <v>3.4285714285714284</v>
      </c>
      <c r="T166" s="71">
        <f t="shared" si="28"/>
        <v>0</v>
      </c>
      <c r="U166" s="71">
        <f t="shared" si="29"/>
        <v>0.5714285714285714</v>
      </c>
      <c r="V166" s="72">
        <f t="shared" si="30"/>
        <v>1</v>
      </c>
      <c r="W166" s="73"/>
      <c r="X166" s="74" t="str">
        <f t="shared" si="31"/>
        <v/>
      </c>
    </row>
    <row r="167" spans="1:24" ht="42" customHeight="1">
      <c r="A167" s="276"/>
      <c r="B167" s="276"/>
      <c r="C167" s="264" t="s">
        <v>397</v>
      </c>
      <c r="D167" s="264"/>
      <c r="E167" s="264"/>
      <c r="F167" s="264"/>
      <c r="G167" s="264"/>
      <c r="H167" s="264"/>
      <c r="I167" s="264"/>
      <c r="J167" s="46">
        <v>5</v>
      </c>
      <c r="K167" s="46">
        <v>80</v>
      </c>
      <c r="L167" s="46">
        <v>80</v>
      </c>
      <c r="M167" s="46"/>
      <c r="N167" s="131"/>
      <c r="O167" s="46" t="s">
        <v>50</v>
      </c>
      <c r="P167" s="46">
        <v>3</v>
      </c>
      <c r="Q167" s="140"/>
      <c r="R167" s="70"/>
      <c r="S167" s="71">
        <f t="shared" si="27"/>
        <v>5</v>
      </c>
      <c r="T167" s="71">
        <f t="shared" si="28"/>
        <v>0</v>
      </c>
      <c r="U167" s="71">
        <f t="shared" si="29"/>
        <v>0</v>
      </c>
      <c r="V167" s="72">
        <f t="shared" si="30"/>
        <v>1</v>
      </c>
      <c r="W167" s="73"/>
      <c r="X167" s="74" t="str">
        <f t="shared" si="31"/>
        <v/>
      </c>
    </row>
    <row r="168" spans="1:24" ht="31.5" customHeight="1">
      <c r="A168" s="276"/>
      <c r="B168" s="276"/>
      <c r="C168" s="264" t="s">
        <v>424</v>
      </c>
      <c r="D168" s="264"/>
      <c r="E168" s="264"/>
      <c r="F168" s="264"/>
      <c r="G168" s="264"/>
      <c r="H168" s="264"/>
      <c r="I168" s="264"/>
      <c r="J168" s="46">
        <v>3</v>
      </c>
      <c r="K168" s="46">
        <v>54</v>
      </c>
      <c r="L168" s="46">
        <v>54</v>
      </c>
      <c r="M168" s="46"/>
      <c r="N168" s="46"/>
      <c r="O168" s="46" t="s">
        <v>50</v>
      </c>
      <c r="P168" s="46">
        <v>4</v>
      </c>
      <c r="Q168" s="140"/>
      <c r="R168" s="70"/>
      <c r="S168" s="71">
        <f t="shared" si="27"/>
        <v>3</v>
      </c>
      <c r="T168" s="71">
        <f t="shared" si="28"/>
        <v>0</v>
      </c>
      <c r="U168" s="71">
        <f t="shared" si="29"/>
        <v>0</v>
      </c>
      <c r="V168" s="72">
        <f t="shared" si="30"/>
        <v>1</v>
      </c>
      <c r="W168" s="73"/>
      <c r="X168" s="74" t="str">
        <f t="shared" si="31"/>
        <v/>
      </c>
    </row>
    <row r="169" spans="1:24" ht="39.75" customHeight="1">
      <c r="A169" s="276"/>
      <c r="B169" s="276"/>
      <c r="C169" s="264" t="s">
        <v>425</v>
      </c>
      <c r="D169" s="264"/>
      <c r="E169" s="264"/>
      <c r="F169" s="264"/>
      <c r="G169" s="264"/>
      <c r="H169" s="264"/>
      <c r="I169" s="264"/>
      <c r="J169" s="46">
        <v>3</v>
      </c>
      <c r="K169" s="46">
        <v>54</v>
      </c>
      <c r="L169" s="46">
        <v>48</v>
      </c>
      <c r="M169" s="46"/>
      <c r="N169" s="46">
        <v>6</v>
      </c>
      <c r="O169" s="46" t="s">
        <v>50</v>
      </c>
      <c r="P169" s="46">
        <v>4</v>
      </c>
      <c r="Q169" s="140"/>
      <c r="R169" s="70"/>
      <c r="S169" s="71">
        <f t="shared" si="27"/>
        <v>2.8235294117647061</v>
      </c>
      <c r="T169" s="71">
        <f t="shared" si="28"/>
        <v>0</v>
      </c>
      <c r="U169" s="71">
        <f t="shared" si="29"/>
        <v>0.17647058823529413</v>
      </c>
      <c r="V169" s="72">
        <f t="shared" si="30"/>
        <v>1</v>
      </c>
      <c r="W169" s="73"/>
      <c r="X169" s="74" t="str">
        <f t="shared" si="31"/>
        <v/>
      </c>
    </row>
    <row r="170" spans="1:24" ht="30.75" customHeight="1">
      <c r="A170" s="276"/>
      <c r="B170" s="276"/>
      <c r="C170" s="264" t="s">
        <v>426</v>
      </c>
      <c r="D170" s="264"/>
      <c r="E170" s="264"/>
      <c r="F170" s="264"/>
      <c r="G170" s="264"/>
      <c r="H170" s="264"/>
      <c r="I170" s="264"/>
      <c r="J170" s="46">
        <v>3</v>
      </c>
      <c r="K170" s="46">
        <v>48</v>
      </c>
      <c r="L170" s="46">
        <v>36</v>
      </c>
      <c r="M170" s="46"/>
      <c r="N170" s="46">
        <v>12</v>
      </c>
      <c r="O170" s="46" t="s">
        <v>50</v>
      </c>
      <c r="P170" s="46">
        <v>4</v>
      </c>
      <c r="Q170" s="140"/>
      <c r="R170" s="70"/>
      <c r="S170" s="71">
        <f t="shared" si="27"/>
        <v>2.5714285714285716</v>
      </c>
      <c r="T170" s="71">
        <f t="shared" si="28"/>
        <v>0</v>
      </c>
      <c r="U170" s="71">
        <f t="shared" si="29"/>
        <v>0.42857142857142855</v>
      </c>
      <c r="V170" s="72">
        <f t="shared" si="30"/>
        <v>1</v>
      </c>
      <c r="W170" s="73"/>
      <c r="X170" s="74" t="str">
        <f t="shared" si="31"/>
        <v/>
      </c>
    </row>
    <row r="171" spans="1:24" ht="31.5" customHeight="1">
      <c r="A171" s="276"/>
      <c r="B171" s="276"/>
      <c r="C171" s="264" t="s">
        <v>427</v>
      </c>
      <c r="D171" s="264"/>
      <c r="E171" s="264"/>
      <c r="F171" s="264"/>
      <c r="G171" s="264"/>
      <c r="H171" s="264"/>
      <c r="I171" s="264"/>
      <c r="J171" s="46">
        <v>4</v>
      </c>
      <c r="K171" s="46">
        <v>72</v>
      </c>
      <c r="L171" s="46">
        <v>54</v>
      </c>
      <c r="M171" s="46"/>
      <c r="N171" s="46">
        <v>18</v>
      </c>
      <c r="O171" s="46" t="s">
        <v>50</v>
      </c>
      <c r="P171" s="46">
        <v>5</v>
      </c>
      <c r="Q171" s="140"/>
      <c r="R171" s="70"/>
      <c r="S171" s="75">
        <f t="shared" si="27"/>
        <v>3.4285714285714284</v>
      </c>
      <c r="T171" s="75">
        <f t="shared" si="28"/>
        <v>0</v>
      </c>
      <c r="U171" s="75">
        <f t="shared" si="29"/>
        <v>0.5714285714285714</v>
      </c>
      <c r="V171" s="76">
        <f t="shared" si="30"/>
        <v>1</v>
      </c>
      <c r="W171" s="77"/>
      <c r="X171" s="78" t="str">
        <f t="shared" si="31"/>
        <v/>
      </c>
    </row>
    <row r="172" spans="1:24" ht="30" customHeight="1">
      <c r="A172" s="262" t="s">
        <v>61</v>
      </c>
      <c r="B172" s="262" t="s">
        <v>61</v>
      </c>
      <c r="C172" s="270"/>
      <c r="D172" s="270"/>
      <c r="E172" s="270"/>
      <c r="F172" s="270"/>
      <c r="G172" s="270"/>
      <c r="H172" s="270"/>
      <c r="I172" s="270"/>
      <c r="J172" s="49">
        <f>SUM(J164:J171)</f>
        <v>27</v>
      </c>
      <c r="K172" s="49">
        <f>SUM(K164:K171)</f>
        <v>466</v>
      </c>
      <c r="L172" s="49">
        <f>SUM(L164:L171)</f>
        <v>400</v>
      </c>
      <c r="M172" s="49">
        <f>SUM(M164:M171)</f>
        <v>0</v>
      </c>
      <c r="N172" s="49">
        <f>SUM(N164:N171)</f>
        <v>66</v>
      </c>
      <c r="O172" s="52">
        <f>COUNTIF(O164:O171,"√")</f>
        <v>7</v>
      </c>
      <c r="P172" s="49"/>
      <c r="Q172" s="52"/>
      <c r="R172" s="79"/>
      <c r="S172" s="80">
        <f>SUM(S164:S171)</f>
        <v>24.790562378797674</v>
      </c>
      <c r="T172" s="80">
        <f>SUM(T164:T171)</f>
        <v>0</v>
      </c>
      <c r="U172" s="80">
        <f>SUM(U164:U171)</f>
        <v>2.2094376212023272</v>
      </c>
      <c r="V172" s="80"/>
      <c r="W172" s="81"/>
      <c r="X172" s="65" t="str">
        <f>IF(J172&lt;&gt;S172+T172+U172,"学分计算有误！","")</f>
        <v/>
      </c>
    </row>
    <row r="173" spans="1:24" ht="27.75" customHeight="1">
      <c r="A173" s="276"/>
      <c r="B173" s="276"/>
      <c r="C173" s="293" t="s">
        <v>372</v>
      </c>
      <c r="D173" s="293"/>
      <c r="E173" s="293"/>
      <c r="F173" s="293"/>
      <c r="G173" s="293"/>
      <c r="H173" s="293"/>
      <c r="I173" s="293"/>
      <c r="J173" s="111">
        <v>1</v>
      </c>
      <c r="K173" s="132">
        <v>2</v>
      </c>
      <c r="L173" s="132">
        <v>1</v>
      </c>
      <c r="M173" s="61"/>
      <c r="N173" s="133"/>
      <c r="O173" s="132"/>
      <c r="P173" s="132">
        <v>5</v>
      </c>
      <c r="Q173" s="61"/>
      <c r="R173" s="119"/>
      <c r="S173" s="120"/>
      <c r="T173" s="120"/>
      <c r="U173" s="120"/>
      <c r="V173" s="120" t="str">
        <f>IF(O173="√",1,"")</f>
        <v/>
      </c>
      <c r="W173" s="62"/>
      <c r="X173" s="74" t="str">
        <f>IF(C173&lt;&gt;"",IF(P173="","请填写修读学期！","")&amp;IF(P173&gt;10,"超出修读期限！",""),"")</f>
        <v/>
      </c>
    </row>
    <row r="174" spans="1:24" ht="32.25" customHeight="1">
      <c r="A174" s="276"/>
      <c r="B174" s="276"/>
      <c r="C174" s="293" t="s">
        <v>373</v>
      </c>
      <c r="D174" s="293"/>
      <c r="E174" s="293"/>
      <c r="F174" s="293"/>
      <c r="G174" s="293"/>
      <c r="H174" s="293"/>
      <c r="I174" s="293"/>
      <c r="J174" s="111">
        <v>1</v>
      </c>
      <c r="K174" s="132">
        <v>2</v>
      </c>
      <c r="L174" s="132">
        <v>1</v>
      </c>
      <c r="M174" s="61"/>
      <c r="N174" s="133"/>
      <c r="O174" s="132"/>
      <c r="P174" s="132">
        <v>6</v>
      </c>
      <c r="Q174" s="61"/>
      <c r="R174" s="119"/>
      <c r="S174" s="120"/>
      <c r="T174" s="120"/>
      <c r="U174" s="120"/>
      <c r="V174" s="120" t="str">
        <f>IF(O174="√",1,"")</f>
        <v/>
      </c>
      <c r="W174" s="62"/>
      <c r="X174" s="74" t="str">
        <f>IF(C174&lt;&gt;"",IF(P174="","请填写修读学期！","")&amp;IF(P174&gt;10,"超出修读期限！",""),"")</f>
        <v/>
      </c>
    </row>
    <row r="175" spans="1:24" ht="27.75" customHeight="1">
      <c r="A175" s="276"/>
      <c r="B175" s="276"/>
      <c r="C175" s="293" t="s">
        <v>374</v>
      </c>
      <c r="D175" s="293"/>
      <c r="E175" s="293"/>
      <c r="F175" s="293"/>
      <c r="G175" s="293"/>
      <c r="H175" s="293"/>
      <c r="I175" s="293"/>
      <c r="J175" s="111">
        <v>4</v>
      </c>
      <c r="K175" s="132">
        <v>10</v>
      </c>
      <c r="L175" s="132">
        <v>8</v>
      </c>
      <c r="M175" s="61"/>
      <c r="N175" s="133"/>
      <c r="O175" s="132"/>
      <c r="P175" s="132">
        <v>8</v>
      </c>
      <c r="Q175" s="61"/>
      <c r="R175" s="119"/>
      <c r="S175" s="120"/>
      <c r="T175" s="120"/>
      <c r="U175" s="120"/>
      <c r="V175" s="120" t="str">
        <f>IF(O175="√",1,"")</f>
        <v/>
      </c>
      <c r="W175" s="62"/>
      <c r="X175" s="74" t="str">
        <f>IF(C175&lt;&gt;"",IF(P175="","请填写修读学期！","")&amp;IF(P175&gt;10,"超出修读期限！",""),"")</f>
        <v/>
      </c>
    </row>
    <row r="176" spans="1:24" ht="24.75" customHeight="1">
      <c r="A176" s="276"/>
      <c r="B176" s="276"/>
      <c r="C176" s="293" t="s">
        <v>397</v>
      </c>
      <c r="D176" s="293"/>
      <c r="E176" s="293"/>
      <c r="F176" s="293"/>
      <c r="G176" s="293"/>
      <c r="H176" s="293"/>
      <c r="I176" s="293"/>
      <c r="J176" s="111">
        <v>8</v>
      </c>
      <c r="K176" s="132">
        <v>4</v>
      </c>
      <c r="L176" s="132">
        <v>16</v>
      </c>
      <c r="M176" s="61"/>
      <c r="N176" s="133"/>
      <c r="O176" s="132"/>
      <c r="P176" s="132">
        <v>8</v>
      </c>
      <c r="Q176" s="61"/>
      <c r="R176" s="119"/>
      <c r="S176" s="121"/>
      <c r="T176" s="121"/>
      <c r="U176" s="121"/>
      <c r="V176" s="121" t="str">
        <f>IF(O176="√",1,"")</f>
        <v/>
      </c>
      <c r="W176" s="122"/>
      <c r="X176" s="78" t="str">
        <f>IF(C176&lt;&gt;"",IF(P176="","请填写修读学期！","")&amp;IF(P176&gt;10,"超出修读期限！",""),"")</f>
        <v/>
      </c>
    </row>
    <row r="177" spans="1:24" ht="30" customHeight="1">
      <c r="A177" s="262" t="s">
        <v>61</v>
      </c>
      <c r="B177" s="262"/>
      <c r="C177" s="270"/>
      <c r="D177" s="270"/>
      <c r="E177" s="270"/>
      <c r="F177" s="270"/>
      <c r="G177" s="270"/>
      <c r="H177" s="270"/>
      <c r="I177" s="270"/>
      <c r="J177" s="35">
        <f>SUM(J173:J176)</f>
        <v>14</v>
      </c>
      <c r="K177" s="49">
        <f>SUM(K173:K176)</f>
        <v>18</v>
      </c>
      <c r="L177" s="49">
        <f>SUM(L173:L176)</f>
        <v>26</v>
      </c>
      <c r="M177" s="49">
        <f>SUM(M173:M176)</f>
        <v>0</v>
      </c>
      <c r="N177" s="49">
        <f>SUM(N173:N176)</f>
        <v>0</v>
      </c>
      <c r="O177" s="52">
        <f>COUNTIF(O173:O176,"√")</f>
        <v>0</v>
      </c>
      <c r="P177" s="49"/>
      <c r="Q177" s="52"/>
      <c r="R177" s="79"/>
      <c r="S177" s="79"/>
      <c r="T177" s="79"/>
      <c r="U177" s="79"/>
      <c r="V177" s="79"/>
      <c r="W177" s="81"/>
      <c r="X177" s="81"/>
    </row>
    <row r="178" spans="1:24" ht="21.95" customHeight="1">
      <c r="A178" s="360" t="str">
        <f>"    2.选修课（"&amp;SUMIF(R181:R193,"&lt;=10",J181:J193)&amp;"）学分"</f>
        <v xml:space="preserve">    2.选修课（13）学分</v>
      </c>
      <c r="B178" s="360"/>
      <c r="C178" s="360"/>
      <c r="D178" s="360"/>
      <c r="E178" s="360"/>
      <c r="F178" s="360"/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87"/>
      <c r="S178" s="87"/>
      <c r="T178" s="87"/>
      <c r="U178" s="87"/>
      <c r="V178" s="87"/>
      <c r="W178" s="87"/>
      <c r="X178" s="59"/>
    </row>
    <row r="179" spans="1:24" ht="18.75" customHeight="1">
      <c r="A179" s="281" t="s">
        <v>27</v>
      </c>
      <c r="B179" s="283"/>
      <c r="C179" s="281" t="s">
        <v>28</v>
      </c>
      <c r="D179" s="282"/>
      <c r="E179" s="282"/>
      <c r="F179" s="282"/>
      <c r="G179" s="282"/>
      <c r="H179" s="282"/>
      <c r="I179" s="283"/>
      <c r="J179" s="279" t="s">
        <v>29</v>
      </c>
      <c r="K179" s="266" t="s">
        <v>30</v>
      </c>
      <c r="L179" s="267"/>
      <c r="M179" s="267"/>
      <c r="N179" s="268"/>
      <c r="O179" s="279" t="s">
        <v>31</v>
      </c>
      <c r="P179" s="343" t="s">
        <v>32</v>
      </c>
      <c r="Q179" s="279" t="s">
        <v>33</v>
      </c>
      <c r="R179" s="346" t="s">
        <v>34</v>
      </c>
      <c r="S179" s="352" t="s">
        <v>35</v>
      </c>
      <c r="T179" s="352" t="s">
        <v>36</v>
      </c>
      <c r="U179" s="352" t="s">
        <v>37</v>
      </c>
      <c r="V179" s="352" t="s">
        <v>38</v>
      </c>
      <c r="W179" s="352" t="s">
        <v>39</v>
      </c>
      <c r="X179" s="348" t="s">
        <v>40</v>
      </c>
    </row>
    <row r="180" spans="1:24" ht="30" customHeight="1">
      <c r="A180" s="284"/>
      <c r="B180" s="286"/>
      <c r="C180" s="284"/>
      <c r="D180" s="285"/>
      <c r="E180" s="285"/>
      <c r="F180" s="285"/>
      <c r="G180" s="285"/>
      <c r="H180" s="285"/>
      <c r="I180" s="286"/>
      <c r="J180" s="280"/>
      <c r="K180" s="34" t="s">
        <v>41</v>
      </c>
      <c r="L180" s="34" t="s">
        <v>42</v>
      </c>
      <c r="M180" s="34" t="s">
        <v>43</v>
      </c>
      <c r="N180" s="34" t="s">
        <v>44</v>
      </c>
      <c r="O180" s="280"/>
      <c r="P180" s="344"/>
      <c r="Q180" s="280"/>
      <c r="R180" s="346"/>
      <c r="S180" s="353"/>
      <c r="T180" s="353"/>
      <c r="U180" s="353"/>
      <c r="V180" s="353"/>
      <c r="W180" s="353"/>
      <c r="X180" s="348"/>
    </row>
    <row r="181" spans="1:24" ht="40.5" customHeight="1">
      <c r="A181" s="380"/>
      <c r="B181" s="380"/>
      <c r="C181" s="293" t="s">
        <v>372</v>
      </c>
      <c r="D181" s="293"/>
      <c r="E181" s="293"/>
      <c r="F181" s="293"/>
      <c r="G181" s="293"/>
      <c r="H181" s="293"/>
      <c r="I181" s="293"/>
      <c r="J181" s="111">
        <v>3</v>
      </c>
      <c r="K181" s="111">
        <v>54</v>
      </c>
      <c r="L181" s="111">
        <v>48</v>
      </c>
      <c r="M181" s="111"/>
      <c r="N181" s="111">
        <v>6</v>
      </c>
      <c r="O181" s="111"/>
      <c r="P181" s="134"/>
      <c r="Q181" s="123"/>
      <c r="R181" s="141">
        <v>5</v>
      </c>
      <c r="S181" s="71">
        <f t="shared" ref="S181:S189" si="32">IF(ISERROR(J181*L181/(L181+M181/2+N181/2)),"",J181*L181/(L181+M181/2+N181/2))</f>
        <v>2.8235294117647061</v>
      </c>
      <c r="T181" s="71">
        <f t="shared" ref="T181:T189" si="33">IF(ISERROR(J181*M181/2/(L181+M181/2+N181/2)),"",J181*M181/2/(L181+M181/2+N181/2))</f>
        <v>0</v>
      </c>
      <c r="U181" s="71">
        <f t="shared" ref="U181:U189" si="34">IF(ISERROR(J181*N181/2/(L181+M181/2+N181/2)),"",J181*N181/2/(L181+M181/2+N181/2))</f>
        <v>0.17647058823529413</v>
      </c>
      <c r="V181" s="72"/>
      <c r="W181" s="72" t="str">
        <f t="shared" ref="W181:W193" si="35">IF(O181="√",1,"")</f>
        <v/>
      </c>
      <c r="X181" s="74" t="str">
        <f>IF(J181="","",IF(K181="","学时没填，影响学分统计！",""))</f>
        <v/>
      </c>
    </row>
    <row r="182" spans="1:24" ht="30" customHeight="1">
      <c r="A182" s="380"/>
      <c r="B182" s="380"/>
      <c r="C182" s="293" t="s">
        <v>373</v>
      </c>
      <c r="D182" s="293"/>
      <c r="E182" s="293"/>
      <c r="F182" s="293"/>
      <c r="G182" s="293"/>
      <c r="H182" s="293"/>
      <c r="I182" s="293"/>
      <c r="J182" s="111">
        <v>3</v>
      </c>
      <c r="K182" s="111">
        <v>48</v>
      </c>
      <c r="L182" s="111">
        <v>42</v>
      </c>
      <c r="M182" s="111"/>
      <c r="N182" s="111">
        <v>6</v>
      </c>
      <c r="O182" s="111"/>
      <c r="P182" s="134"/>
      <c r="Q182" s="123"/>
      <c r="R182" s="141"/>
      <c r="S182" s="71">
        <f t="shared" si="32"/>
        <v>2.8</v>
      </c>
      <c r="T182" s="71">
        <f t="shared" si="33"/>
        <v>0</v>
      </c>
      <c r="U182" s="71">
        <f t="shared" si="34"/>
        <v>0.2</v>
      </c>
      <c r="V182" s="72"/>
      <c r="W182" s="72" t="str">
        <f t="shared" si="35"/>
        <v/>
      </c>
      <c r="X182" s="74" t="str">
        <f t="shared" ref="X182:X189" si="36">IF(J182="","",IF(K182="","学时没填，影响学分统计！",""))</f>
        <v/>
      </c>
    </row>
    <row r="183" spans="1:24" ht="30" customHeight="1">
      <c r="A183" s="380"/>
      <c r="B183" s="380"/>
      <c r="C183" s="293" t="s">
        <v>374</v>
      </c>
      <c r="D183" s="293"/>
      <c r="E183" s="293"/>
      <c r="F183" s="293"/>
      <c r="G183" s="293"/>
      <c r="H183" s="293"/>
      <c r="I183" s="293"/>
      <c r="J183" s="111">
        <v>3</v>
      </c>
      <c r="K183" s="111">
        <v>48</v>
      </c>
      <c r="L183" s="111">
        <v>48</v>
      </c>
      <c r="M183" s="111"/>
      <c r="N183" s="111"/>
      <c r="O183" s="111"/>
      <c r="P183" s="134"/>
      <c r="Q183" s="123"/>
      <c r="R183" s="141">
        <v>6</v>
      </c>
      <c r="S183" s="71">
        <f t="shared" si="32"/>
        <v>3</v>
      </c>
      <c r="T183" s="71">
        <f t="shared" si="33"/>
        <v>0</v>
      </c>
      <c r="U183" s="71">
        <f t="shared" si="34"/>
        <v>0</v>
      </c>
      <c r="V183" s="72"/>
      <c r="W183" s="72" t="str">
        <f t="shared" si="35"/>
        <v/>
      </c>
      <c r="X183" s="74" t="str">
        <f t="shared" si="36"/>
        <v/>
      </c>
    </row>
    <row r="184" spans="1:24" ht="30" customHeight="1">
      <c r="A184" s="380"/>
      <c r="B184" s="380"/>
      <c r="C184" s="293" t="s">
        <v>397</v>
      </c>
      <c r="D184" s="293"/>
      <c r="E184" s="293"/>
      <c r="F184" s="293"/>
      <c r="G184" s="293"/>
      <c r="H184" s="293"/>
      <c r="I184" s="293"/>
      <c r="J184" s="111">
        <v>3</v>
      </c>
      <c r="K184" s="111">
        <v>48</v>
      </c>
      <c r="L184" s="111">
        <v>48</v>
      </c>
      <c r="M184" s="111"/>
      <c r="N184" s="111"/>
      <c r="O184" s="111"/>
      <c r="P184" s="134"/>
      <c r="Q184" s="123"/>
      <c r="R184" s="141"/>
      <c r="S184" s="71">
        <f t="shared" si="32"/>
        <v>3</v>
      </c>
      <c r="T184" s="71">
        <f t="shared" si="33"/>
        <v>0</v>
      </c>
      <c r="U184" s="71">
        <f t="shared" si="34"/>
        <v>0</v>
      </c>
      <c r="V184" s="72"/>
      <c r="W184" s="72" t="str">
        <f t="shared" si="35"/>
        <v/>
      </c>
      <c r="X184" s="74" t="str">
        <f t="shared" si="36"/>
        <v/>
      </c>
    </row>
    <row r="185" spans="1:24" ht="30" customHeight="1">
      <c r="A185" s="380"/>
      <c r="B185" s="380"/>
      <c r="C185" s="293" t="s">
        <v>424</v>
      </c>
      <c r="D185" s="293"/>
      <c r="E185" s="293"/>
      <c r="F185" s="293"/>
      <c r="G185" s="293"/>
      <c r="H185" s="293"/>
      <c r="I185" s="293"/>
      <c r="J185" s="111">
        <v>3</v>
      </c>
      <c r="K185" s="111">
        <v>48</v>
      </c>
      <c r="L185" s="111">
        <v>48</v>
      </c>
      <c r="M185" s="111"/>
      <c r="N185" s="111"/>
      <c r="O185" s="111"/>
      <c r="P185" s="134"/>
      <c r="Q185" s="123"/>
      <c r="R185" s="141"/>
      <c r="S185" s="71">
        <f t="shared" si="32"/>
        <v>3</v>
      </c>
      <c r="T185" s="71">
        <f t="shared" si="33"/>
        <v>0</v>
      </c>
      <c r="U185" s="71">
        <f t="shared" si="34"/>
        <v>0</v>
      </c>
      <c r="V185" s="72"/>
      <c r="W185" s="72" t="str">
        <f t="shared" si="35"/>
        <v/>
      </c>
      <c r="X185" s="74" t="str">
        <f t="shared" si="36"/>
        <v/>
      </c>
    </row>
    <row r="186" spans="1:24" ht="30" customHeight="1">
      <c r="A186" s="380"/>
      <c r="B186" s="380"/>
      <c r="C186" s="293" t="s">
        <v>425</v>
      </c>
      <c r="D186" s="293"/>
      <c r="E186" s="293"/>
      <c r="F186" s="293"/>
      <c r="G186" s="293"/>
      <c r="H186" s="293"/>
      <c r="I186" s="293"/>
      <c r="J186" s="111">
        <v>3</v>
      </c>
      <c r="K186" s="111">
        <v>48</v>
      </c>
      <c r="L186" s="111">
        <v>33</v>
      </c>
      <c r="M186" s="111"/>
      <c r="N186" s="111">
        <v>15</v>
      </c>
      <c r="O186" s="111"/>
      <c r="P186" s="134"/>
      <c r="Q186" s="123"/>
      <c r="R186" s="141"/>
      <c r="S186" s="71">
        <f t="shared" si="32"/>
        <v>2.4444444444444446</v>
      </c>
      <c r="T186" s="71">
        <f t="shared" si="33"/>
        <v>0</v>
      </c>
      <c r="U186" s="71">
        <f t="shared" si="34"/>
        <v>0.55555555555555558</v>
      </c>
      <c r="V186" s="72"/>
      <c r="W186" s="72" t="str">
        <f t="shared" si="35"/>
        <v/>
      </c>
      <c r="X186" s="74" t="str">
        <f t="shared" si="36"/>
        <v/>
      </c>
    </row>
    <row r="187" spans="1:24" ht="30" customHeight="1">
      <c r="A187" s="380"/>
      <c r="B187" s="380"/>
      <c r="C187" s="293" t="s">
        <v>426</v>
      </c>
      <c r="D187" s="293"/>
      <c r="E187" s="293"/>
      <c r="F187" s="293"/>
      <c r="G187" s="293"/>
      <c r="H187" s="293"/>
      <c r="I187" s="293"/>
      <c r="J187" s="111">
        <v>3</v>
      </c>
      <c r="K187" s="111">
        <v>48</v>
      </c>
      <c r="L187" s="111">
        <v>42</v>
      </c>
      <c r="M187" s="111"/>
      <c r="N187" s="111">
        <v>6</v>
      </c>
      <c r="O187" s="132" t="s">
        <v>50</v>
      </c>
      <c r="P187" s="134"/>
      <c r="Q187" s="123"/>
      <c r="R187" s="141">
        <v>5</v>
      </c>
      <c r="S187" s="71">
        <f t="shared" si="32"/>
        <v>2.8</v>
      </c>
      <c r="T187" s="71">
        <f t="shared" si="33"/>
        <v>0</v>
      </c>
      <c r="U187" s="71">
        <f t="shared" si="34"/>
        <v>0.2</v>
      </c>
      <c r="V187" s="72"/>
      <c r="W187" s="72">
        <f t="shared" si="35"/>
        <v>1</v>
      </c>
      <c r="X187" s="74" t="str">
        <f t="shared" si="36"/>
        <v/>
      </c>
    </row>
    <row r="188" spans="1:24" ht="39" customHeight="1">
      <c r="A188" s="380"/>
      <c r="B188" s="380"/>
      <c r="C188" s="293" t="s">
        <v>427</v>
      </c>
      <c r="D188" s="293"/>
      <c r="E188" s="293"/>
      <c r="F188" s="293"/>
      <c r="G188" s="293"/>
      <c r="H188" s="293"/>
      <c r="I188" s="293"/>
      <c r="J188" s="111">
        <v>3</v>
      </c>
      <c r="K188" s="111">
        <v>48</v>
      </c>
      <c r="L188" s="111">
        <v>33</v>
      </c>
      <c r="M188" s="111"/>
      <c r="N188" s="111">
        <v>15</v>
      </c>
      <c r="O188" s="111"/>
      <c r="P188" s="134"/>
      <c r="Q188" s="123"/>
      <c r="R188" s="141"/>
      <c r="S188" s="71">
        <f t="shared" si="32"/>
        <v>2.4444444444444446</v>
      </c>
      <c r="T188" s="71">
        <f t="shared" si="33"/>
        <v>0</v>
      </c>
      <c r="U188" s="71">
        <f t="shared" si="34"/>
        <v>0.55555555555555558</v>
      </c>
      <c r="V188" s="72"/>
      <c r="W188" s="72" t="str">
        <f t="shared" si="35"/>
        <v/>
      </c>
      <c r="X188" s="74" t="str">
        <f t="shared" si="36"/>
        <v/>
      </c>
    </row>
    <row r="189" spans="1:24" ht="33.75" customHeight="1">
      <c r="A189" s="380"/>
      <c r="B189" s="380"/>
      <c r="C189" s="293" t="s">
        <v>428</v>
      </c>
      <c r="D189" s="293"/>
      <c r="E189" s="293"/>
      <c r="F189" s="293"/>
      <c r="G189" s="293"/>
      <c r="H189" s="293"/>
      <c r="I189" s="293"/>
      <c r="J189" s="111">
        <v>3</v>
      </c>
      <c r="K189" s="111">
        <v>48</v>
      </c>
      <c r="L189" s="111">
        <v>48</v>
      </c>
      <c r="M189" s="111"/>
      <c r="N189" s="111"/>
      <c r="O189" s="111"/>
      <c r="P189" s="134"/>
      <c r="Q189" s="142"/>
      <c r="R189" s="141"/>
      <c r="S189" s="75">
        <f t="shared" si="32"/>
        <v>3</v>
      </c>
      <c r="T189" s="75">
        <f t="shared" si="33"/>
        <v>0</v>
      </c>
      <c r="U189" s="75">
        <f t="shared" si="34"/>
        <v>0</v>
      </c>
      <c r="V189" s="76"/>
      <c r="W189" s="76" t="str">
        <f t="shared" si="35"/>
        <v/>
      </c>
      <c r="X189" s="78" t="str">
        <f t="shared" si="36"/>
        <v/>
      </c>
    </row>
    <row r="190" spans="1:24" ht="30" customHeight="1">
      <c r="A190" s="262" t="s">
        <v>61</v>
      </c>
      <c r="B190" s="262"/>
      <c r="C190" s="270" t="s">
        <v>104</v>
      </c>
      <c r="D190" s="270"/>
      <c r="E190" s="270"/>
      <c r="F190" s="270"/>
      <c r="G190" s="270"/>
      <c r="H190" s="270"/>
      <c r="I190" s="270"/>
      <c r="J190" s="111">
        <v>9</v>
      </c>
      <c r="K190" s="52"/>
      <c r="L190" s="52"/>
      <c r="M190" s="52"/>
      <c r="N190" s="52"/>
      <c r="O190" s="35">
        <f>COUNTIF(O181:O189,"√")</f>
        <v>1</v>
      </c>
      <c r="P190" s="53"/>
      <c r="Q190" s="52"/>
      <c r="R190" s="79"/>
      <c r="S190" s="79"/>
      <c r="T190" s="79"/>
      <c r="U190" s="79"/>
      <c r="V190" s="79"/>
      <c r="W190" s="143"/>
      <c r="X190" s="65" t="str">
        <f>IF(SUMIF(R181:R189,"&gt;0",J181:J189)=J190,"计划与实际选修学分一致！",IF(SUMIF(R181:R189,"&gt;0",J181:J189)&gt;J190,"实际比计划选修多"&amp;SUMIF(R181:R189,"&gt;0",J181:J189)-J190&amp;"学分!","选修缺"&amp;J190-SUMIF(R181:R189,"&gt;0",J181:J189)&amp;"学分!"))</f>
        <v>计划与实际选修学分一致！</v>
      </c>
    </row>
    <row r="191" spans="1:24" ht="30" customHeight="1">
      <c r="A191" s="380"/>
      <c r="B191" s="380"/>
      <c r="C191" s="293" t="s">
        <v>372</v>
      </c>
      <c r="D191" s="293"/>
      <c r="E191" s="293"/>
      <c r="F191" s="293"/>
      <c r="G191" s="293"/>
      <c r="H191" s="293"/>
      <c r="I191" s="293"/>
      <c r="J191" s="111">
        <v>2</v>
      </c>
      <c r="K191" s="132">
        <v>2</v>
      </c>
      <c r="L191" s="132"/>
      <c r="M191" s="61"/>
      <c r="N191" s="133"/>
      <c r="O191" s="132"/>
      <c r="P191" s="132"/>
      <c r="Q191" s="61"/>
      <c r="R191" s="144">
        <v>5</v>
      </c>
      <c r="S191" s="70"/>
      <c r="T191" s="70"/>
      <c r="U191" s="70"/>
      <c r="V191" s="72"/>
      <c r="W191" s="72" t="str">
        <f t="shared" si="35"/>
        <v/>
      </c>
      <c r="X191" s="74" t="str">
        <f>IF(J191="","",IF(K191="","学时没填，影响学分统计！",""))</f>
        <v/>
      </c>
    </row>
    <row r="192" spans="1:24" ht="30" customHeight="1">
      <c r="A192" s="380"/>
      <c r="B192" s="380"/>
      <c r="C192" s="293" t="s">
        <v>373</v>
      </c>
      <c r="D192" s="293"/>
      <c r="E192" s="293"/>
      <c r="F192" s="293"/>
      <c r="G192" s="293"/>
      <c r="H192" s="293"/>
      <c r="I192" s="293"/>
      <c r="J192" s="111">
        <v>2</v>
      </c>
      <c r="K192" s="132">
        <v>2</v>
      </c>
      <c r="L192" s="132"/>
      <c r="M192" s="61"/>
      <c r="N192" s="133"/>
      <c r="O192" s="132" t="s">
        <v>50</v>
      </c>
      <c r="P192" s="132"/>
      <c r="Q192" s="61"/>
      <c r="R192" s="144">
        <v>6</v>
      </c>
      <c r="S192" s="70"/>
      <c r="T192" s="70"/>
      <c r="U192" s="70"/>
      <c r="V192" s="72"/>
      <c r="W192" s="72">
        <f t="shared" si="35"/>
        <v>1</v>
      </c>
      <c r="X192" s="74" t="str">
        <f>IF(J192="","",IF(K192="","学时没填，影响学分统计！",""))</f>
        <v/>
      </c>
    </row>
    <row r="193" spans="1:253" ht="38.25" customHeight="1">
      <c r="A193" s="380"/>
      <c r="B193" s="380"/>
      <c r="C193" s="293" t="s">
        <v>374</v>
      </c>
      <c r="D193" s="293"/>
      <c r="E193" s="293"/>
      <c r="F193" s="293"/>
      <c r="G193" s="293"/>
      <c r="H193" s="293"/>
      <c r="I193" s="293"/>
      <c r="J193" s="111">
        <v>1</v>
      </c>
      <c r="K193" s="132">
        <v>1</v>
      </c>
      <c r="L193" s="132"/>
      <c r="M193" s="61"/>
      <c r="N193" s="133"/>
      <c r="O193" s="132"/>
      <c r="P193" s="132"/>
      <c r="Q193" s="61"/>
      <c r="R193" s="144"/>
      <c r="S193" s="85"/>
      <c r="T193" s="85"/>
      <c r="U193" s="85"/>
      <c r="V193" s="76"/>
      <c r="W193" s="76" t="str">
        <f t="shared" si="35"/>
        <v/>
      </c>
      <c r="X193" s="78" t="str">
        <f>IF(J193="","",IF(K193="","学时没填，影响学分统计！",""))</f>
        <v/>
      </c>
    </row>
    <row r="194" spans="1:253" ht="30" customHeight="1">
      <c r="A194" s="262" t="s">
        <v>61</v>
      </c>
      <c r="B194" s="262"/>
      <c r="C194" s="270" t="s">
        <v>105</v>
      </c>
      <c r="D194" s="270"/>
      <c r="E194" s="270"/>
      <c r="F194" s="270"/>
      <c r="G194" s="270"/>
      <c r="H194" s="270"/>
      <c r="I194" s="270"/>
      <c r="J194" s="147">
        <v>4</v>
      </c>
      <c r="K194" s="49">
        <f>SUM(K191:K193)</f>
        <v>5</v>
      </c>
      <c r="L194" s="49"/>
      <c r="M194" s="49"/>
      <c r="N194" s="49"/>
      <c r="O194" s="35">
        <f>COUNTIF(O191:O193,"√")</f>
        <v>1</v>
      </c>
      <c r="P194" s="49"/>
      <c r="Q194" s="52"/>
      <c r="R194" s="79"/>
      <c r="S194" s="79"/>
      <c r="T194" s="79"/>
      <c r="U194" s="79"/>
      <c r="V194" s="79"/>
      <c r="W194" s="148"/>
      <c r="X194" s="65" t="str">
        <f>IF(SUMIF(R191:R193,"&gt;0",J191:J193)=J194,"计划与实际选修学分一致！",IF(SUMIF(R191:R193,"&gt;0",J191:J193)&gt;J194,"实际比计划选修多"&amp;SUMIF(R191:R193,"&gt;0",J191:J193)-J194&amp;"学分!","选修缺"&amp;J194-SUMIF(R191:R193,"&gt;0",J191:J193)&amp;"学分!"))</f>
        <v>计划与实际选修学分一致！</v>
      </c>
    </row>
    <row r="195" spans="1:253" s="26" customFormat="1" ht="32.25" customHeight="1">
      <c r="A195" s="315" t="s">
        <v>106</v>
      </c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149"/>
      <c r="S195" s="149"/>
      <c r="T195" s="149"/>
      <c r="U195" s="149"/>
      <c r="V195" s="149"/>
      <c r="W195" s="149"/>
      <c r="X195" s="149"/>
      <c r="Y195" s="152"/>
      <c r="Z195" s="152"/>
      <c r="AA195" s="152"/>
      <c r="AB195" s="151"/>
      <c r="AC195" s="151"/>
      <c r="AD195" s="151"/>
      <c r="AE195" s="151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  <c r="AU195" s="316"/>
      <c r="AV195" s="316"/>
      <c r="AW195" s="316"/>
      <c r="AX195" s="316"/>
      <c r="AY195" s="316"/>
      <c r="AZ195" s="316"/>
      <c r="BA195" s="316"/>
      <c r="BB195" s="316"/>
      <c r="BC195" s="316"/>
      <c r="BD195" s="316"/>
      <c r="BE195" s="316"/>
      <c r="BF195" s="316"/>
      <c r="BG195" s="316"/>
      <c r="BH195" s="316"/>
      <c r="BI195" s="316"/>
      <c r="BJ195" s="316"/>
      <c r="BK195" s="316"/>
      <c r="BL195" s="316"/>
      <c r="BM195" s="316"/>
      <c r="BN195" s="316"/>
      <c r="BO195" s="316"/>
      <c r="BP195" s="316"/>
      <c r="BQ195" s="316"/>
      <c r="BR195" s="316"/>
      <c r="BS195" s="316"/>
      <c r="BT195" s="316"/>
      <c r="BU195" s="316"/>
      <c r="BV195" s="316"/>
      <c r="BW195" s="316"/>
      <c r="BX195" s="316"/>
      <c r="BY195" s="316"/>
      <c r="BZ195" s="316"/>
      <c r="CA195" s="316"/>
      <c r="CB195" s="316"/>
      <c r="CC195" s="316"/>
      <c r="CD195" s="316"/>
      <c r="CE195" s="316"/>
      <c r="CF195" s="316"/>
      <c r="CG195" s="316"/>
      <c r="CH195" s="316"/>
      <c r="CI195" s="316"/>
      <c r="CJ195" s="316"/>
      <c r="CK195" s="316"/>
      <c r="CL195" s="316"/>
      <c r="CM195" s="316"/>
      <c r="CN195" s="316"/>
      <c r="CO195" s="316"/>
      <c r="CP195" s="316"/>
      <c r="CQ195" s="316"/>
      <c r="CR195" s="316"/>
      <c r="CS195" s="316"/>
      <c r="CT195" s="316"/>
      <c r="CU195" s="316"/>
      <c r="CV195" s="316"/>
      <c r="CW195" s="316"/>
      <c r="CX195" s="316"/>
      <c r="CY195" s="316"/>
      <c r="CZ195" s="316"/>
      <c r="DA195" s="316"/>
      <c r="DB195" s="316"/>
      <c r="DC195" s="316"/>
      <c r="DD195" s="316"/>
      <c r="DE195" s="316"/>
      <c r="DF195" s="316"/>
      <c r="DG195" s="316"/>
      <c r="DH195" s="316"/>
      <c r="DI195" s="316"/>
      <c r="DJ195" s="316"/>
      <c r="DK195" s="316"/>
      <c r="DL195" s="316"/>
      <c r="DM195" s="316"/>
      <c r="DN195" s="316"/>
      <c r="DO195" s="316"/>
      <c r="DP195" s="316"/>
      <c r="DQ195" s="316"/>
      <c r="DR195" s="316"/>
      <c r="DS195" s="316"/>
      <c r="DT195" s="316"/>
      <c r="DU195" s="316"/>
      <c r="DV195" s="316"/>
      <c r="DW195" s="316"/>
      <c r="DX195" s="316"/>
      <c r="DY195" s="316"/>
      <c r="DZ195" s="316"/>
      <c r="EA195" s="316"/>
      <c r="EB195" s="316"/>
      <c r="EC195" s="316"/>
      <c r="ED195" s="316"/>
      <c r="EE195" s="316"/>
      <c r="EF195" s="316"/>
      <c r="EG195" s="316"/>
      <c r="EH195" s="316"/>
      <c r="EI195" s="316"/>
      <c r="EJ195" s="316"/>
      <c r="EK195" s="316"/>
      <c r="EL195" s="316"/>
      <c r="EM195" s="316"/>
      <c r="EN195" s="316"/>
      <c r="EO195" s="316"/>
      <c r="EP195" s="316"/>
      <c r="EQ195" s="316"/>
      <c r="ER195" s="316"/>
      <c r="ES195" s="316"/>
      <c r="ET195" s="316"/>
      <c r="EU195" s="316"/>
      <c r="EV195" s="316"/>
      <c r="EW195" s="316"/>
      <c r="EX195" s="316"/>
      <c r="EY195" s="316"/>
      <c r="EZ195" s="316"/>
      <c r="FA195" s="316"/>
      <c r="FB195" s="316"/>
      <c r="FC195" s="316"/>
      <c r="FD195" s="316"/>
      <c r="FE195" s="316"/>
      <c r="FF195" s="316"/>
      <c r="FG195" s="316"/>
      <c r="FH195" s="316"/>
      <c r="FI195" s="316"/>
      <c r="FJ195" s="316"/>
      <c r="FK195" s="316"/>
      <c r="FL195" s="316"/>
      <c r="FM195" s="316"/>
      <c r="FN195" s="316"/>
      <c r="FO195" s="316"/>
      <c r="FP195" s="316"/>
      <c r="FQ195" s="316"/>
      <c r="FR195" s="316"/>
      <c r="FS195" s="316"/>
      <c r="FT195" s="316"/>
      <c r="FU195" s="316"/>
      <c r="FV195" s="316"/>
      <c r="FW195" s="316"/>
      <c r="FX195" s="316"/>
      <c r="FY195" s="316"/>
      <c r="FZ195" s="316"/>
      <c r="GA195" s="316"/>
      <c r="GB195" s="316"/>
      <c r="GC195" s="316"/>
      <c r="GD195" s="316"/>
      <c r="GE195" s="316"/>
      <c r="GF195" s="316"/>
      <c r="GG195" s="316"/>
      <c r="GH195" s="316"/>
      <c r="GI195" s="316"/>
      <c r="GJ195" s="316"/>
      <c r="GK195" s="316"/>
      <c r="GL195" s="316"/>
      <c r="GM195" s="316"/>
      <c r="GN195" s="316"/>
      <c r="GO195" s="316"/>
      <c r="GP195" s="316"/>
      <c r="GQ195" s="316"/>
      <c r="GR195" s="316"/>
      <c r="GS195" s="316"/>
      <c r="GT195" s="316"/>
      <c r="GU195" s="316"/>
      <c r="GV195" s="316"/>
      <c r="GW195" s="316"/>
      <c r="GX195" s="316"/>
      <c r="GY195" s="316"/>
      <c r="GZ195" s="316"/>
      <c r="HA195" s="316"/>
      <c r="HB195" s="316"/>
      <c r="HC195" s="316"/>
      <c r="HD195" s="316"/>
      <c r="HE195" s="316"/>
      <c r="HF195" s="316"/>
      <c r="HG195" s="316"/>
      <c r="HH195" s="316"/>
      <c r="HI195" s="316"/>
      <c r="HJ195" s="316"/>
      <c r="HK195" s="316"/>
      <c r="HL195" s="316"/>
      <c r="HM195" s="316"/>
      <c r="HN195" s="316"/>
      <c r="HO195" s="316"/>
      <c r="HP195" s="316"/>
      <c r="HQ195" s="316"/>
      <c r="HR195" s="316"/>
      <c r="HS195" s="316"/>
      <c r="HT195" s="316"/>
      <c r="HU195" s="316"/>
      <c r="HV195" s="316"/>
      <c r="HW195" s="316"/>
      <c r="HX195" s="316"/>
      <c r="HY195" s="316"/>
      <c r="HZ195" s="316"/>
      <c r="IA195" s="316"/>
      <c r="IB195" s="316"/>
      <c r="IC195" s="316"/>
      <c r="ID195" s="316"/>
      <c r="IE195" s="316"/>
      <c r="IF195" s="316"/>
      <c r="IG195" s="316"/>
      <c r="IH195" s="316"/>
      <c r="II195" s="316"/>
      <c r="IJ195" s="316"/>
      <c r="IK195" s="316"/>
      <c r="IL195" s="316"/>
      <c r="IM195" s="316"/>
      <c r="IN195" s="316"/>
      <c r="IO195" s="316"/>
      <c r="IP195" s="316"/>
      <c r="IQ195" s="316"/>
      <c r="IR195" s="316"/>
      <c r="IS195" s="153"/>
    </row>
    <row r="196" spans="1:253" ht="24.95" customHeight="1">
      <c r="A196" s="317" t="s">
        <v>107</v>
      </c>
      <c r="B196" s="317"/>
      <c r="C196" s="317" t="s">
        <v>108</v>
      </c>
      <c r="D196" s="317"/>
      <c r="E196" s="317"/>
      <c r="F196" s="317"/>
      <c r="G196" s="317"/>
      <c r="H196" s="317"/>
      <c r="I196" s="317"/>
      <c r="J196" s="317"/>
      <c r="K196" s="317"/>
      <c r="L196" s="328" t="s">
        <v>109</v>
      </c>
      <c r="M196" s="317"/>
      <c r="N196" s="317"/>
      <c r="O196" s="328" t="s">
        <v>110</v>
      </c>
      <c r="P196" s="317"/>
      <c r="Q196" s="317"/>
    </row>
    <row r="197" spans="1:253" ht="24.95" customHeight="1">
      <c r="A197" s="317"/>
      <c r="B197" s="317"/>
      <c r="C197" s="317" t="s">
        <v>111</v>
      </c>
      <c r="D197" s="317"/>
      <c r="E197" s="317"/>
      <c r="F197" s="317" t="s">
        <v>112</v>
      </c>
      <c r="G197" s="317"/>
      <c r="H197" s="317"/>
      <c r="I197" s="317" t="s">
        <v>61</v>
      </c>
      <c r="J197" s="317"/>
      <c r="K197" s="317"/>
      <c r="L197" s="317"/>
      <c r="M197" s="317"/>
      <c r="N197" s="317"/>
      <c r="O197" s="317"/>
      <c r="P197" s="317"/>
      <c r="Q197" s="317"/>
    </row>
    <row r="198" spans="1:253" ht="24.95" customHeight="1">
      <c r="A198" s="317" t="s">
        <v>113</v>
      </c>
      <c r="B198" s="317"/>
      <c r="C198" s="320">
        <f>SUMIF(P23:P39,"1",K23:K39)+SUMIF(P56:P63,"1",K56:K63)+SUMIF(P82:P108,"1",K82:K108)+SUMIF(P127:P134,"1",K127:K134)+SUMIF(P164:P171,"1",K164:K171)</f>
        <v>540</v>
      </c>
      <c r="D198" s="321"/>
      <c r="E198" s="322"/>
      <c r="F198" s="318">
        <f>SUMIF(R50:R50,"1",K50:K50)+SUMIF(R73:R76,"1",K73:K76)+SUMIF(R118:R121,"1",K118:K121)+SUMIF(R148:R158,"1",K148:K158)+SUMIF(R181:R189,"1",K181:K189)</f>
        <v>32</v>
      </c>
      <c r="G198" s="319"/>
      <c r="H198" s="319"/>
      <c r="I198" s="318">
        <f>SUM(C198:H198)</f>
        <v>572</v>
      </c>
      <c r="J198" s="319"/>
      <c r="K198" s="319"/>
      <c r="L198" s="318">
        <f>SUMIF(P41:P45,"1",K41:K45)+SUMIF(P65:P68,"1",K65:K68)+SUMIF(P110:P113,"1",K110:K113)+SUMIF(P136:P140,"1",K136:K140)+SUMIF(P173:P176,"1",K173:K176)+SUMIF(R191:R193,"1",K191:K193)</f>
        <v>3</v>
      </c>
      <c r="M198" s="319"/>
      <c r="N198" s="319"/>
      <c r="O198" s="319">
        <f>SUMIF(P23:P193,"1",V23:V193)+SUMIF(R23:R193,"1",W23:W193)</f>
        <v>10</v>
      </c>
      <c r="P198" s="319"/>
      <c r="Q198" s="319"/>
      <c r="R198" s="31"/>
    </row>
    <row r="199" spans="1:253" ht="24.95" customHeight="1">
      <c r="A199" s="317" t="s">
        <v>114</v>
      </c>
      <c r="B199" s="317"/>
      <c r="C199" s="318">
        <f>SUMIF(P23:P39,"2",K23:K39)+SUMIF(P56:P63,"2",K56:K63)+SUMIF(P82:P108,"2",K82:K108)+SUMIF(P127:P134,"2",K127:K134)+SUMIF(P164:P171,"2",K164:K171)</f>
        <v>878</v>
      </c>
      <c r="D199" s="319"/>
      <c r="E199" s="319"/>
      <c r="F199" s="318">
        <f>SUMIF(R50:R50,"2",K50:K50)+SUMIF(R73:R76,"2",K73:K76)+SUMIF(R118:R121,"2",K118:K121)+SUMIF(R148:R158,"2",K148:K158)+SUMIF(R181:R189,"2",K181:K189)+16</f>
        <v>64</v>
      </c>
      <c r="G199" s="319"/>
      <c r="H199" s="319"/>
      <c r="I199" s="319">
        <f t="shared" ref="I199:I207" si="37">SUM(C199:H199)</f>
        <v>942</v>
      </c>
      <c r="J199" s="319"/>
      <c r="K199" s="319"/>
      <c r="L199" s="318">
        <f>SUMIF(P41:P45,"2",K41:K45)+SUMIF(P65:P68,"2",K65:K68)+SUMIF(P110:P113,"2",K110:K113)+SUMIF(P136:P140,"2",K136:K140)+SUMIF(P173:P176,"2",K173:K176)+SUMIF(R191:R193,"2",K191:K193)</f>
        <v>2</v>
      </c>
      <c r="M199" s="319"/>
      <c r="N199" s="319"/>
      <c r="O199" s="319">
        <f>SUMIF(P23:P193,"2",V23:V193)+SUMIF(R23:R193,"2",W23:W193)</f>
        <v>13</v>
      </c>
      <c r="P199" s="319"/>
      <c r="Q199" s="319"/>
    </row>
    <row r="200" spans="1:253" ht="24.95" customHeight="1">
      <c r="A200" s="317" t="s">
        <v>115</v>
      </c>
      <c r="B200" s="317"/>
      <c r="C200" s="318">
        <f>SUMIF(P23:P39,"3",K23:K39)+SUMIF(P56:P63,"3",K56:K63)+SUMIF(P82:P108,"3",K82:K108)+SUMIF(P127:P134,"3",K127:K134)+SUMIF(P164:P171,"3",K164:K171)</f>
        <v>500</v>
      </c>
      <c r="D200" s="319"/>
      <c r="E200" s="319"/>
      <c r="F200" s="318">
        <f>SUMIF(R50:R50,"3",K50:K50)+SUMIF(R73:R76,"3",K73:K76)+SUMIF(R118:R121,"3",K118:K121)+SUMIF(R148:R158,"3",K148:K158)+SUMIF(R181:R189,"3",K181:K189)+16</f>
        <v>64</v>
      </c>
      <c r="G200" s="319"/>
      <c r="H200" s="319"/>
      <c r="I200" s="319">
        <f t="shared" si="37"/>
        <v>564</v>
      </c>
      <c r="J200" s="319"/>
      <c r="K200" s="319"/>
      <c r="L200" s="318">
        <f>SUMIF(P41:P45,"3",K41:K45)+SUMIF(P65:P68,"3",K65:K68)+SUMIF(P110:P113,"3",K110:K113)+SUMIF(P136:P140,"3",K136:K140)+SUMIF(P173:P176,"3",K173:K176)+SUMIF(R191:R193,"3",K191:K193)</f>
        <v>2</v>
      </c>
      <c r="M200" s="319"/>
      <c r="N200" s="319"/>
      <c r="O200" s="319">
        <f>SUMIF(P23:P193,"3",V23:V193)+SUMIF(R23:R193,"3",W23:W193)</f>
        <v>8</v>
      </c>
      <c r="P200" s="319"/>
      <c r="Q200" s="319"/>
    </row>
    <row r="201" spans="1:253" ht="24.95" customHeight="1">
      <c r="A201" s="317" t="s">
        <v>116</v>
      </c>
      <c r="B201" s="317"/>
      <c r="C201" s="318">
        <f>SUMIF(P23:P39,"4",K23:K39)+SUMIF(P56:P63,"4",K56:K63)+SUMIF(P82:P108,"4",K82:K108)+SUMIF(P127:P134,"4",K127:K134)+SUMIF(P164:P171,"4",K164:K171)</f>
        <v>264</v>
      </c>
      <c r="D201" s="319"/>
      <c r="E201" s="319"/>
      <c r="F201" s="318">
        <f>SUMIF(R50:R50,"4",K50:K50)+SUMIF(R73:R76,"4",K73:K76)+SUMIF(R118:R121,"4",K118:K121)+SUMIF(R148:R158,"4",K148:K158)+SUMIF(R181:R189,"4",K181:K189)+16</f>
        <v>34</v>
      </c>
      <c r="G201" s="319"/>
      <c r="H201" s="319"/>
      <c r="I201" s="319">
        <f t="shared" si="37"/>
        <v>298</v>
      </c>
      <c r="J201" s="319"/>
      <c r="K201" s="319"/>
      <c r="L201" s="318">
        <f>SUMIF(P41:P45,"4",K41:K45)+SUMIF(P65:P68,"4",K65:K68)+SUMIF(P110:P113,"4",K110:K113)+SUMIF(P136:P140,"4",K136:K140)+SUMIF(P173:P176,"4",K173:K176)+SUMIF(R191:R193,"4",K191:K193)</f>
        <v>2</v>
      </c>
      <c r="M201" s="319"/>
      <c r="N201" s="319"/>
      <c r="O201" s="319">
        <f>SUMIF(P23:P193,"4",V23:V193)+SUMIF(R23:R193,"4",W23:W193)</f>
        <v>5</v>
      </c>
      <c r="P201" s="319"/>
      <c r="Q201" s="319"/>
    </row>
    <row r="202" spans="1:253" ht="24.95" customHeight="1">
      <c r="A202" s="317" t="s">
        <v>117</v>
      </c>
      <c r="B202" s="317"/>
      <c r="C202" s="318">
        <f>SUMIF(P23:P39,"5",K23:K39)+SUMIF(P56:P63,"5",K56:K63)+SUMIF(P82:P108,"5",K82:K108)+SUMIF(P127:P134,"5",K127:K134)+SUMIF(P164:P171,"5",K164:K171)</f>
        <v>216</v>
      </c>
      <c r="D202" s="319"/>
      <c r="E202" s="319"/>
      <c r="F202" s="318">
        <f>SUMIF(R50:R50,"5",K50:K50)+SUMIF(R73:R76,"5",K73:K76)+SUMIF(R118:R121,"5",K118:K121)+SUMIF(R148:R158,"5",K148:K158)+SUMIF(R181:R189,"5",K181:K189)+16</f>
        <v>186</v>
      </c>
      <c r="G202" s="319"/>
      <c r="H202" s="319"/>
      <c r="I202" s="319">
        <f t="shared" si="37"/>
        <v>402</v>
      </c>
      <c r="J202" s="319"/>
      <c r="K202" s="319"/>
      <c r="L202" s="318">
        <f>SUMIF(P41:P45,"5",K41:K45)+SUMIF(P65:P68,"5",K65:K68)+SUMIF(P110:P113,"5",K110:K113)+SUMIF(P136:P140,"5",K136:K140)+SUMIF(P173:P176,"5",K173:K176)+SUMIF(R191:R193,"5",K191:K193)</f>
        <v>10</v>
      </c>
      <c r="M202" s="319"/>
      <c r="N202" s="319"/>
      <c r="O202" s="319">
        <f>SUMIF(P23:P193,"5",V23:V193)+SUMIF(R23:R193,"5",W23:W193)</f>
        <v>5</v>
      </c>
      <c r="P202" s="319"/>
      <c r="Q202" s="319"/>
    </row>
    <row r="203" spans="1:253" ht="24.95" customHeight="1">
      <c r="A203" s="317" t="s">
        <v>118</v>
      </c>
      <c r="B203" s="317"/>
      <c r="C203" s="318">
        <f>SUMIF(P23:P39,"6",K23:K39)+SUMIF(P56:P63,"6",K56:K63)+SUMIF(P82:P108,"6",K82:K108)+SUMIF(P127:P134,"6",K127:K134)+SUMIF(P164:P171,"6",K164:K171)</f>
        <v>36</v>
      </c>
      <c r="D203" s="319"/>
      <c r="E203" s="319"/>
      <c r="F203" s="318">
        <f>SUMIF(R50:R50,"6",K50:K50)+SUMIF(R73:R76,"6",K73:K76)+SUMIF(R118:R121,"6",K118:K121)+SUMIF(R148:R158,"6",K148:K158)+SUMIF(R181:R189,"6",K181:K189)+16</f>
        <v>82</v>
      </c>
      <c r="G203" s="319"/>
      <c r="H203" s="319"/>
      <c r="I203" s="319">
        <f t="shared" si="37"/>
        <v>118</v>
      </c>
      <c r="J203" s="319"/>
      <c r="K203" s="319"/>
      <c r="L203" s="318">
        <f>SUMIF(P41:P45,"6",K41:K45)+SUMIF(P65:P68,"6",K65:K68)+SUMIF(P110:P113,"6",K110:K113)+SUMIF(P136:P140,"6",K136:K140)+SUMIF(P173:P176,"6",K173:K176)+SUMIF(R191:R193,"6",K191:K193)</f>
        <v>6</v>
      </c>
      <c r="M203" s="319"/>
      <c r="N203" s="319"/>
      <c r="O203" s="319">
        <f>SUMIF(P23:P193,"6",V23:V193)+SUMIF(R23:R193,"6",W23:W193)</f>
        <v>1</v>
      </c>
      <c r="P203" s="319"/>
      <c r="Q203" s="319"/>
    </row>
    <row r="204" spans="1:253" ht="24.95" customHeight="1">
      <c r="A204" s="317" t="s">
        <v>119</v>
      </c>
      <c r="B204" s="317"/>
      <c r="C204" s="318">
        <f>SUMIF(P23:P39,"7",K23:K39)+SUMIF(P56:P63,"7",K56:K63)+SUMIF(P82:P108,"7",K82:K108)+SUMIF(P127:P134,"7",K127:K134)+SUMIF(P164:P171,"7",K164:K171)</f>
        <v>0</v>
      </c>
      <c r="D204" s="319"/>
      <c r="E204" s="319"/>
      <c r="F204" s="318">
        <f>SUMIF(R50:R50,"7",K50:K50)+SUMIF(R73:R76,"7",K73:K76)+SUMIF(R118:R121,"7",K118:K121)+SUMIF(R148:R158,"7",K148:K158)+SUMIF(R181:R189,"7",K181:K189)+16</f>
        <v>34</v>
      </c>
      <c r="G204" s="319"/>
      <c r="H204" s="319"/>
      <c r="I204" s="319">
        <f t="shared" si="37"/>
        <v>34</v>
      </c>
      <c r="J204" s="319"/>
      <c r="K204" s="319"/>
      <c r="L204" s="318">
        <f>SUMIF(P41:P45,"7",K41:K45)+SUMIF(P65:P68,"7",K65:K68)+SUMIF(P110:P113,"7",K110:K113)+SUMIF(P136:P140,"7",K136:K140)+SUMIF(P173:P176,"7",K173:K176)+SUMIF(R191:R193,"7",K191:K193)</f>
        <v>10</v>
      </c>
      <c r="M204" s="319"/>
      <c r="N204" s="319"/>
      <c r="O204" s="319">
        <f>SUMIF(P23:P193,"7",V23:V193)+SUMIF(R23:R193,"7",W23:W193)</f>
        <v>0</v>
      </c>
      <c r="P204" s="319"/>
      <c r="Q204" s="319"/>
    </row>
    <row r="205" spans="1:253" ht="24.95" customHeight="1">
      <c r="A205" s="317" t="s">
        <v>120</v>
      </c>
      <c r="B205" s="317"/>
      <c r="C205" s="318">
        <f>SUMIF(P23:P39,"8",K23:K39)+SUMIF(P56:P63,"8",K56:K63)+SUMIF(P82:P108,"8",K82:K108)+SUMIF(P127:P134,"8",K127:K134)+SUMIF(P164:P171,"8",K164:K171)</f>
        <v>0</v>
      </c>
      <c r="D205" s="319"/>
      <c r="E205" s="319"/>
      <c r="F205" s="318">
        <f>SUMIF(R50:R50,"8",K50:K50)+SUMIF(R73:R76,"8",K73:K76)+SUMIF(R118:R121,"8",K118:K121)+SUMIF(R148:R158,"8",K148:K158)+SUMIF(R181:R189,"8",K181:K189)</f>
        <v>0</v>
      </c>
      <c r="G205" s="319"/>
      <c r="H205" s="319"/>
      <c r="I205" s="319">
        <f t="shared" si="37"/>
        <v>0</v>
      </c>
      <c r="J205" s="319"/>
      <c r="K205" s="319"/>
      <c r="L205" s="318">
        <f>SUMIF(P41:P45,"8",K41:K45)+SUMIF(P65:P68,"8",K65:K68)+SUMIF(P110:P113,"8",K110:K113)+SUMIF(P136:P140,"8",K136:K140)+SUMIF(P173:P176,"8",K173:K176)+SUMIF(R191:R193,"8",K191:K193)</f>
        <v>18</v>
      </c>
      <c r="M205" s="319"/>
      <c r="N205" s="319"/>
      <c r="O205" s="319">
        <f>SUMIF(P23:P193,"8",V23:V193)+SUMIF(R23:R193,"8",W23:W193)</f>
        <v>0</v>
      </c>
      <c r="P205" s="319"/>
      <c r="Q205" s="319"/>
    </row>
    <row r="206" spans="1:253" ht="24.95" customHeight="1">
      <c r="A206" s="317" t="s">
        <v>121</v>
      </c>
      <c r="B206" s="317"/>
      <c r="C206" s="318">
        <f>SUMIF(P23:P39,"9",K23:K39)+SUMIF(P56:P63,"9",K56:K63)+SUMIF(P82:P108,"9",K82:K108)+SUMIF(P127:P134,"9",K127:K134)+SUMIF(P164:P171,"9",K164:K171)</f>
        <v>0</v>
      </c>
      <c r="D206" s="319"/>
      <c r="E206" s="319"/>
      <c r="F206" s="318">
        <f>SUMIF(R50:R50,"9",K50:K50)+SUMIF(R73:R76,"9",K73:K76)+SUMIF(R118:R121,"9",K118:K121)+SUMIF(R148:R158,"9",K148:K158)+SUMIF(R181:R189,"9",K181:K189)</f>
        <v>0</v>
      </c>
      <c r="G206" s="319"/>
      <c r="H206" s="319"/>
      <c r="I206" s="319">
        <f t="shared" si="37"/>
        <v>0</v>
      </c>
      <c r="J206" s="319"/>
      <c r="K206" s="319"/>
      <c r="L206" s="318">
        <f>SUMIF(P41:P45,"9",K41:K45)+SUMIF(P65:P68,"9",K65:K68)+SUMIF(P110:P113,"9",K110:K113)+SUMIF(P136:P140,"9",K136:K140)+SUMIF(P173:P176,"9",K173:K176)+SUMIF(R191:R193,"9",K191:K193)</f>
        <v>0</v>
      </c>
      <c r="M206" s="319"/>
      <c r="N206" s="319"/>
      <c r="O206" s="319">
        <f>SUMIF(P23:P193,"9",V23:V193)+SUMIF(R23:R193,"9",W23:W193)</f>
        <v>0</v>
      </c>
      <c r="P206" s="319"/>
      <c r="Q206" s="319"/>
      <c r="R206" s="323"/>
      <c r="S206" s="323"/>
      <c r="T206" s="323"/>
      <c r="U206" s="323"/>
    </row>
    <row r="207" spans="1:253" ht="24.95" customHeight="1">
      <c r="A207" s="317" t="s">
        <v>122</v>
      </c>
      <c r="B207" s="317"/>
      <c r="C207" s="318">
        <f>SUMIF(P23:P39,"10",K23:K39)+SUMIF(P56:P63,"10",K56:K63)+SUMIF(P82:P108,"10",K82:K108)+SUMIF(P127:P134,"10",K127:K134)+SUMIF(P164:P171,"10",K164:K171)</f>
        <v>0</v>
      </c>
      <c r="D207" s="319"/>
      <c r="E207" s="319"/>
      <c r="F207" s="318">
        <f>SUMIF(R50:R50,"10",K50:K50)+SUMIF(R73:R76,"10",K73:K76)+SUMIF(R118:R121,"10",K118:K121)+SUMIF(R148:R158,"10",K148:K158)+SUMIF(R181:R189,"10",K181:K189)</f>
        <v>0</v>
      </c>
      <c r="G207" s="319"/>
      <c r="H207" s="319"/>
      <c r="I207" s="319">
        <f t="shared" si="37"/>
        <v>0</v>
      </c>
      <c r="J207" s="319"/>
      <c r="K207" s="319"/>
      <c r="L207" s="318">
        <f>SUMIF(P41:P45,"10",K41:K45)+SUMIF(P65:P68,"10",K65:K68)+SUMIF(P110:P113,"10",K110:K113)+SUMIF(P136:P140,"10",K136:K140)+SUMIF(P173:P176,"10",K173:K176)+SUMIF(R191:R193,"10",K191:K193)</f>
        <v>0</v>
      </c>
      <c r="M207" s="319"/>
      <c r="N207" s="319"/>
      <c r="O207" s="319">
        <f>SUMIF(P23:P193,"10",V23:V193)+SUMIF(R23:R193,"10",W23:W193)</f>
        <v>0</v>
      </c>
      <c r="P207" s="319"/>
      <c r="Q207" s="319"/>
      <c r="R207" s="150"/>
      <c r="S207" s="150"/>
      <c r="T207" s="150"/>
      <c r="U207" s="150"/>
    </row>
    <row r="208" spans="1:253" ht="24.95" customHeight="1">
      <c r="A208" s="262" t="s">
        <v>123</v>
      </c>
      <c r="B208" s="262"/>
      <c r="C208" s="325">
        <f>SUM(C198:E207)</f>
        <v>2434</v>
      </c>
      <c r="D208" s="325"/>
      <c r="E208" s="325"/>
      <c r="F208" s="325">
        <f>SUM(F198:H207)</f>
        <v>496</v>
      </c>
      <c r="G208" s="325"/>
      <c r="H208" s="325"/>
      <c r="I208" s="325">
        <f>SUM(I198:K207)</f>
        <v>2930</v>
      </c>
      <c r="J208" s="325"/>
      <c r="K208" s="325"/>
      <c r="L208" s="325">
        <f>SUM(L198:N207)</f>
        <v>53</v>
      </c>
      <c r="M208" s="325"/>
      <c r="N208" s="325"/>
      <c r="O208" s="325">
        <f>SUM(O198:Q207)</f>
        <v>42</v>
      </c>
      <c r="P208" s="325"/>
      <c r="Q208" s="325"/>
      <c r="R208" s="150"/>
      <c r="S208" s="150"/>
      <c r="T208" s="150"/>
      <c r="U208" s="150"/>
    </row>
    <row r="209" spans="1:253" s="26" customFormat="1" ht="31.5" customHeight="1">
      <c r="A209" s="315" t="s">
        <v>124</v>
      </c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149"/>
      <c r="S209" s="149"/>
      <c r="T209" s="149"/>
      <c r="U209" s="149"/>
      <c r="V209" s="151"/>
      <c r="W209" s="151"/>
      <c r="X209" s="151"/>
      <c r="Y209" s="152"/>
      <c r="Z209" s="152"/>
      <c r="AA209" s="152"/>
      <c r="AB209" s="151"/>
      <c r="AC209" s="151"/>
      <c r="AD209" s="151"/>
      <c r="AE209" s="151"/>
      <c r="AF209" s="316"/>
      <c r="AG209" s="316"/>
      <c r="AH209" s="316"/>
      <c r="AI209" s="316"/>
      <c r="AJ209" s="316"/>
      <c r="AK209" s="316"/>
      <c r="AL209" s="316"/>
      <c r="AM209" s="316"/>
      <c r="AN209" s="316"/>
      <c r="AO209" s="316"/>
      <c r="AP209" s="316"/>
      <c r="AQ209" s="316"/>
      <c r="AR209" s="316"/>
      <c r="AS209" s="316"/>
      <c r="AT209" s="316"/>
      <c r="AU209" s="316"/>
      <c r="AV209" s="316"/>
      <c r="AW209" s="316"/>
      <c r="AX209" s="316"/>
      <c r="AY209" s="316"/>
      <c r="AZ209" s="316"/>
      <c r="BA209" s="316"/>
      <c r="BB209" s="316"/>
      <c r="BC209" s="316"/>
      <c r="BD209" s="316"/>
      <c r="BE209" s="316"/>
      <c r="BF209" s="316"/>
      <c r="BG209" s="316"/>
      <c r="BH209" s="316"/>
      <c r="BI209" s="316"/>
      <c r="BJ209" s="316"/>
      <c r="BK209" s="316"/>
      <c r="BL209" s="316"/>
      <c r="BM209" s="316"/>
      <c r="BN209" s="316"/>
      <c r="BO209" s="316"/>
      <c r="BP209" s="316"/>
      <c r="BQ209" s="316"/>
      <c r="BR209" s="316"/>
      <c r="BS209" s="316"/>
      <c r="BT209" s="316"/>
      <c r="BU209" s="316"/>
      <c r="BV209" s="316"/>
      <c r="BW209" s="316"/>
      <c r="BX209" s="316"/>
      <c r="BY209" s="316"/>
      <c r="BZ209" s="316"/>
      <c r="CA209" s="316"/>
      <c r="CB209" s="316"/>
      <c r="CC209" s="316"/>
      <c r="CD209" s="316"/>
      <c r="CE209" s="316"/>
      <c r="CF209" s="316"/>
      <c r="CG209" s="316"/>
      <c r="CH209" s="316"/>
      <c r="CI209" s="316"/>
      <c r="CJ209" s="316"/>
      <c r="CK209" s="316"/>
      <c r="CL209" s="316"/>
      <c r="CM209" s="316"/>
      <c r="CN209" s="316"/>
      <c r="CO209" s="316"/>
      <c r="CP209" s="316"/>
      <c r="CQ209" s="316"/>
      <c r="CR209" s="316"/>
      <c r="CS209" s="316"/>
      <c r="CT209" s="316"/>
      <c r="CU209" s="316"/>
      <c r="CV209" s="316"/>
      <c r="CW209" s="316"/>
      <c r="CX209" s="316"/>
      <c r="CY209" s="316"/>
      <c r="CZ209" s="316"/>
      <c r="DA209" s="316"/>
      <c r="DB209" s="316"/>
      <c r="DC209" s="316"/>
      <c r="DD209" s="316"/>
      <c r="DE209" s="316"/>
      <c r="DF209" s="316"/>
      <c r="DG209" s="316"/>
      <c r="DH209" s="316"/>
      <c r="DI209" s="316"/>
      <c r="DJ209" s="316"/>
      <c r="DK209" s="316"/>
      <c r="DL209" s="316"/>
      <c r="DM209" s="316"/>
      <c r="DN209" s="316"/>
      <c r="DO209" s="316"/>
      <c r="DP209" s="316"/>
      <c r="DQ209" s="316"/>
      <c r="DR209" s="316"/>
      <c r="DS209" s="316"/>
      <c r="DT209" s="316"/>
      <c r="DU209" s="316"/>
      <c r="DV209" s="316"/>
      <c r="DW209" s="316"/>
      <c r="DX209" s="316"/>
      <c r="DY209" s="316"/>
      <c r="DZ209" s="316"/>
      <c r="EA209" s="316"/>
      <c r="EB209" s="316"/>
      <c r="EC209" s="316"/>
      <c r="ED209" s="316"/>
      <c r="EE209" s="316"/>
      <c r="EF209" s="316"/>
      <c r="EG209" s="316"/>
      <c r="EH209" s="316"/>
      <c r="EI209" s="316"/>
      <c r="EJ209" s="316"/>
      <c r="EK209" s="316"/>
      <c r="EL209" s="316"/>
      <c r="EM209" s="316"/>
      <c r="EN209" s="316"/>
      <c r="EO209" s="316"/>
      <c r="EP209" s="316"/>
      <c r="EQ209" s="316"/>
      <c r="ER209" s="316"/>
      <c r="ES209" s="316"/>
      <c r="ET209" s="316"/>
      <c r="EU209" s="316"/>
      <c r="EV209" s="316"/>
      <c r="EW209" s="316"/>
      <c r="EX209" s="316"/>
      <c r="EY209" s="316"/>
      <c r="EZ209" s="316"/>
      <c r="FA209" s="316"/>
      <c r="FB209" s="316"/>
      <c r="FC209" s="316"/>
      <c r="FD209" s="316"/>
      <c r="FE209" s="316"/>
      <c r="FF209" s="316"/>
      <c r="FG209" s="316"/>
      <c r="FH209" s="316"/>
      <c r="FI209" s="316"/>
      <c r="FJ209" s="316"/>
      <c r="FK209" s="316"/>
      <c r="FL209" s="316"/>
      <c r="FM209" s="316"/>
      <c r="FN209" s="316"/>
      <c r="FO209" s="316"/>
      <c r="FP209" s="316"/>
      <c r="FQ209" s="316"/>
      <c r="FR209" s="316"/>
      <c r="FS209" s="316"/>
      <c r="FT209" s="316"/>
      <c r="FU209" s="316"/>
      <c r="FV209" s="316"/>
      <c r="FW209" s="316"/>
      <c r="FX209" s="316"/>
      <c r="FY209" s="316"/>
      <c r="FZ209" s="316"/>
      <c r="GA209" s="316"/>
      <c r="GB209" s="316"/>
      <c r="GC209" s="316"/>
      <c r="GD209" s="316"/>
      <c r="GE209" s="316"/>
      <c r="GF209" s="316"/>
      <c r="GG209" s="316"/>
      <c r="GH209" s="316"/>
      <c r="GI209" s="316"/>
      <c r="GJ209" s="316"/>
      <c r="GK209" s="316"/>
      <c r="GL209" s="316"/>
      <c r="GM209" s="316"/>
      <c r="GN209" s="316"/>
      <c r="GO209" s="316"/>
      <c r="GP209" s="316"/>
      <c r="GQ209" s="316"/>
      <c r="GR209" s="316"/>
      <c r="GS209" s="316"/>
      <c r="GT209" s="316"/>
      <c r="GU209" s="316"/>
      <c r="GV209" s="316"/>
      <c r="GW209" s="316"/>
      <c r="GX209" s="316"/>
      <c r="GY209" s="316"/>
      <c r="GZ209" s="316"/>
      <c r="HA209" s="316"/>
      <c r="HB209" s="316"/>
      <c r="HC209" s="316"/>
      <c r="HD209" s="316"/>
      <c r="HE209" s="316"/>
      <c r="HF209" s="316"/>
      <c r="HG209" s="316"/>
      <c r="HH209" s="316"/>
      <c r="HI209" s="316"/>
      <c r="HJ209" s="316"/>
      <c r="HK209" s="316"/>
      <c r="HL209" s="316"/>
      <c r="HM209" s="316"/>
      <c r="HN209" s="316"/>
      <c r="HO209" s="316"/>
      <c r="HP209" s="316"/>
      <c r="HQ209" s="316"/>
      <c r="HR209" s="316"/>
      <c r="HS209" s="316"/>
      <c r="HT209" s="316"/>
      <c r="HU209" s="316"/>
      <c r="HV209" s="316"/>
      <c r="HW209" s="316"/>
      <c r="HX209" s="316"/>
      <c r="HY209" s="316"/>
      <c r="HZ209" s="316"/>
      <c r="IA209" s="316"/>
      <c r="IB209" s="316"/>
      <c r="IC209" s="316"/>
      <c r="ID209" s="316"/>
      <c r="IE209" s="316"/>
      <c r="IF209" s="316"/>
      <c r="IG209" s="316"/>
      <c r="IH209" s="316"/>
      <c r="II209" s="316"/>
      <c r="IJ209" s="316"/>
      <c r="IK209" s="316"/>
      <c r="IL209" s="316"/>
      <c r="IM209" s="316"/>
      <c r="IN209" s="316"/>
      <c r="IO209" s="316"/>
      <c r="IP209" s="316"/>
      <c r="IQ209" s="316"/>
      <c r="IR209" s="316"/>
      <c r="IS209" s="153"/>
    </row>
    <row r="210" spans="1:253" ht="24.95" customHeight="1">
      <c r="A210" s="317" t="s">
        <v>125</v>
      </c>
      <c r="B210" s="317"/>
      <c r="C210" s="317"/>
      <c r="D210" s="317" t="s">
        <v>126</v>
      </c>
      <c r="E210" s="317"/>
      <c r="F210" s="317"/>
      <c r="G210" s="317"/>
      <c r="H210" s="317"/>
      <c r="I210" s="317"/>
      <c r="J210" s="317"/>
      <c r="K210" s="317"/>
      <c r="L210" s="317"/>
      <c r="M210" s="317"/>
      <c r="N210" s="317"/>
      <c r="O210" s="317"/>
      <c r="P210" s="317"/>
      <c r="Q210" s="317"/>
      <c r="R210" s="326" t="s">
        <v>429</v>
      </c>
      <c r="S210" s="326"/>
      <c r="T210" s="326"/>
      <c r="U210" s="326"/>
    </row>
    <row r="211" spans="1:253" ht="31.5" customHeight="1">
      <c r="A211" s="317"/>
      <c r="B211" s="317"/>
      <c r="C211" s="317"/>
      <c r="D211" s="328" t="s">
        <v>29</v>
      </c>
      <c r="E211" s="328"/>
      <c r="F211" s="328" t="s">
        <v>128</v>
      </c>
      <c r="G211" s="328"/>
      <c r="H211" s="328" t="s">
        <v>129</v>
      </c>
      <c r="I211" s="328"/>
      <c r="J211" s="328" t="s">
        <v>130</v>
      </c>
      <c r="K211" s="328"/>
      <c r="L211" s="328" t="s">
        <v>129</v>
      </c>
      <c r="M211" s="328"/>
      <c r="N211" s="328" t="s">
        <v>131</v>
      </c>
      <c r="O211" s="328"/>
      <c r="P211" s="328" t="s">
        <v>129</v>
      </c>
      <c r="Q211" s="328"/>
      <c r="R211" s="327" t="s">
        <v>132</v>
      </c>
      <c r="S211" s="327"/>
      <c r="T211" s="327" t="s">
        <v>133</v>
      </c>
      <c r="U211" s="327"/>
    </row>
    <row r="212" spans="1:253" ht="24.95" customHeight="1">
      <c r="A212" s="317" t="s">
        <v>134</v>
      </c>
      <c r="B212" s="317"/>
      <c r="C212" s="317"/>
      <c r="D212" s="329">
        <f>F212+J212</f>
        <v>28</v>
      </c>
      <c r="E212" s="329"/>
      <c r="F212" s="329">
        <f>J40+J46</f>
        <v>22</v>
      </c>
      <c r="G212" s="329"/>
      <c r="H212" s="330">
        <f t="shared" ref="H212:H217" si="38">IF(ISERROR(F212/D212),"",F212/D212)</f>
        <v>0.7857142857142857</v>
      </c>
      <c r="I212" s="330"/>
      <c r="J212" s="329">
        <f>SUMIF(R50:R50,"&gt;0",J50:J50)+6</f>
        <v>6</v>
      </c>
      <c r="K212" s="329"/>
      <c r="L212" s="330">
        <f t="shared" ref="L212:L217" si="39">IF(ISERROR(J212/D212),"",J212/D212)</f>
        <v>0.21428571428571427</v>
      </c>
      <c r="M212" s="330"/>
      <c r="N212" s="329">
        <f>T40+U40+J46</f>
        <v>6.4615384615384617</v>
      </c>
      <c r="O212" s="329"/>
      <c r="P212" s="330">
        <f t="shared" ref="P212:P217" si="40">IF(ISERROR(N212/D212),"",N212/D212)</f>
        <v>0.23076923076923078</v>
      </c>
      <c r="Q212" s="330"/>
      <c r="R212" s="382">
        <f>J51</f>
        <v>6</v>
      </c>
      <c r="S212" s="383"/>
      <c r="T212" s="331" t="str">
        <f t="shared" ref="T212:T217" si="41">IF(J212-R212=0,"完成",IF(J212-R212&gt;0,"多选修"&amp;ABS(J212-R212)&amp;"学分",IF(J212-R212&lt;0,"少选修"&amp;ABS(J212-R212)&amp;"学分","")))</f>
        <v>完成</v>
      </c>
      <c r="U212" s="332"/>
    </row>
    <row r="213" spans="1:253" ht="24.95" customHeight="1">
      <c r="A213" s="328" t="s">
        <v>135</v>
      </c>
      <c r="B213" s="328"/>
      <c r="C213" s="328"/>
      <c r="D213" s="329">
        <f>F213+J213</f>
        <v>14</v>
      </c>
      <c r="E213" s="329"/>
      <c r="F213" s="329">
        <f>J64+J69</f>
        <v>9</v>
      </c>
      <c r="G213" s="329"/>
      <c r="H213" s="330">
        <f t="shared" si="38"/>
        <v>0.6428571428571429</v>
      </c>
      <c r="I213" s="330"/>
      <c r="J213" s="329">
        <f>SUMIF(R73:R76,"&lt;=10",J73:J76)</f>
        <v>5</v>
      </c>
      <c r="K213" s="329"/>
      <c r="L213" s="330">
        <f t="shared" si="39"/>
        <v>0.35714285714285715</v>
      </c>
      <c r="M213" s="330"/>
      <c r="N213" s="329">
        <f>T64+U64+J69</f>
        <v>2.5333333333333332</v>
      </c>
      <c r="O213" s="329"/>
      <c r="P213" s="330">
        <f t="shared" si="40"/>
        <v>0.18095238095238095</v>
      </c>
      <c r="Q213" s="330"/>
      <c r="R213" s="381">
        <f>J77</f>
        <v>5</v>
      </c>
      <c r="S213" s="381"/>
      <c r="T213" s="331" t="str">
        <f t="shared" si="41"/>
        <v>完成</v>
      </c>
      <c r="U213" s="332"/>
    </row>
    <row r="214" spans="1:253" ht="24.95" customHeight="1">
      <c r="A214" s="317" t="s">
        <v>136</v>
      </c>
      <c r="B214" s="317"/>
      <c r="C214" s="317"/>
      <c r="D214" s="329">
        <f>F214+J214</f>
        <v>96</v>
      </c>
      <c r="E214" s="329"/>
      <c r="F214" s="329">
        <f>J109+J114</f>
        <v>89.5</v>
      </c>
      <c r="G214" s="329"/>
      <c r="H214" s="330">
        <f t="shared" si="38"/>
        <v>0.93229166666666663</v>
      </c>
      <c r="I214" s="330"/>
      <c r="J214" s="329">
        <f>SUMIF(R118:R121,"&lt;=10",J118:J121)</f>
        <v>6.5</v>
      </c>
      <c r="K214" s="329"/>
      <c r="L214" s="330">
        <f t="shared" si="39"/>
        <v>6.7708333333333329E-2</v>
      </c>
      <c r="M214" s="330"/>
      <c r="N214" s="329">
        <f>T109+U109+J114</f>
        <v>23.166666666666664</v>
      </c>
      <c r="O214" s="329"/>
      <c r="P214" s="330">
        <f t="shared" si="40"/>
        <v>0.24131944444444442</v>
      </c>
      <c r="Q214" s="330"/>
      <c r="R214" s="381">
        <f>J122</f>
        <v>6.5</v>
      </c>
      <c r="S214" s="381"/>
      <c r="T214" s="331" t="str">
        <f t="shared" si="41"/>
        <v>完成</v>
      </c>
      <c r="U214" s="332"/>
    </row>
    <row r="215" spans="1:253" ht="24.95" customHeight="1">
      <c r="A215" s="317" t="s">
        <v>430</v>
      </c>
      <c r="B215" s="317"/>
      <c r="C215" s="317"/>
      <c r="D215" s="329">
        <f>F215+J215</f>
        <v>35</v>
      </c>
      <c r="E215" s="329"/>
      <c r="F215" s="329">
        <f>J135+J144</f>
        <v>30</v>
      </c>
      <c r="G215" s="329"/>
      <c r="H215" s="330">
        <f t="shared" si="38"/>
        <v>0.8571428571428571</v>
      </c>
      <c r="I215" s="330"/>
      <c r="J215" s="329">
        <f>SUMIF(R148:R158,"&lt;=10",J148:J158)</f>
        <v>5</v>
      </c>
      <c r="K215" s="329"/>
      <c r="L215" s="330">
        <f t="shared" si="39"/>
        <v>0.14285714285714285</v>
      </c>
      <c r="M215" s="330"/>
      <c r="N215" s="329">
        <f>T135+U135+J144</f>
        <v>20.73443325769928</v>
      </c>
      <c r="O215" s="329"/>
      <c r="P215" s="330">
        <f t="shared" si="40"/>
        <v>0.59241237879140796</v>
      </c>
      <c r="Q215" s="330"/>
      <c r="R215" s="381">
        <f>J159</f>
        <v>5</v>
      </c>
      <c r="S215" s="381"/>
      <c r="T215" s="331" t="str">
        <f t="shared" si="41"/>
        <v>完成</v>
      </c>
      <c r="U215" s="332"/>
    </row>
    <row r="216" spans="1:253" ht="24.95" customHeight="1">
      <c r="A216" s="317" t="s">
        <v>137</v>
      </c>
      <c r="B216" s="317"/>
      <c r="C216" s="317"/>
      <c r="D216" s="329">
        <f>F216+J216</f>
        <v>54</v>
      </c>
      <c r="E216" s="329"/>
      <c r="F216" s="329">
        <f>J172+J177</f>
        <v>41</v>
      </c>
      <c r="G216" s="329"/>
      <c r="H216" s="330">
        <f t="shared" si="38"/>
        <v>0.7592592592592593</v>
      </c>
      <c r="I216" s="330"/>
      <c r="J216" s="329">
        <f>SUMIF(R181:R193,"&lt;=10",J181:J193)</f>
        <v>13</v>
      </c>
      <c r="K216" s="329"/>
      <c r="L216" s="330">
        <f t="shared" si="39"/>
        <v>0.24074074074074073</v>
      </c>
      <c r="M216" s="330"/>
      <c r="N216" s="329">
        <f>T172+U172+J177+SUMIF(R191:R193,"&lt;=10",J191:J193)</f>
        <v>20.209437621202326</v>
      </c>
      <c r="O216" s="329"/>
      <c r="P216" s="330">
        <f t="shared" si="40"/>
        <v>0.3742488448370801</v>
      </c>
      <c r="Q216" s="330"/>
      <c r="R216" s="381">
        <f>J190+J194</f>
        <v>13</v>
      </c>
      <c r="S216" s="381"/>
      <c r="T216" s="331" t="str">
        <f t="shared" si="41"/>
        <v>完成</v>
      </c>
      <c r="U216" s="332"/>
    </row>
    <row r="217" spans="1:253" ht="24.95" customHeight="1">
      <c r="A217" s="262" t="s">
        <v>138</v>
      </c>
      <c r="B217" s="262"/>
      <c r="C217" s="262"/>
      <c r="D217" s="334">
        <f>SUM(D212:E216)</f>
        <v>227</v>
      </c>
      <c r="E217" s="334"/>
      <c r="F217" s="334">
        <f>SUM(F212:G216)</f>
        <v>191.5</v>
      </c>
      <c r="G217" s="334"/>
      <c r="H217" s="333">
        <f t="shared" si="38"/>
        <v>0.84361233480176212</v>
      </c>
      <c r="I217" s="333"/>
      <c r="J217" s="334">
        <f>SUM(J212:K216)</f>
        <v>35.5</v>
      </c>
      <c r="K217" s="334"/>
      <c r="L217" s="333">
        <f t="shared" si="39"/>
        <v>0.15638766519823788</v>
      </c>
      <c r="M217" s="333"/>
      <c r="N217" s="334">
        <f>SUM(N212:O216)</f>
        <v>73.105409340440062</v>
      </c>
      <c r="O217" s="334"/>
      <c r="P217" s="333">
        <f t="shared" si="40"/>
        <v>0.32205026141163023</v>
      </c>
      <c r="Q217" s="333"/>
      <c r="R217" s="381">
        <f>SUM(R212:S216)</f>
        <v>35.5</v>
      </c>
      <c r="S217" s="381"/>
      <c r="T217" s="331" t="str">
        <f t="shared" si="41"/>
        <v>完成</v>
      </c>
      <c r="U217" s="332"/>
    </row>
    <row r="218" spans="1:253" ht="39" customHeight="1">
      <c r="A218" s="326" t="s">
        <v>431</v>
      </c>
      <c r="B218" s="326"/>
      <c r="C218" s="326"/>
      <c r="D218" s="335" t="str">
        <f>IF(D217&gt;IF(C2="4",170,210),"大于控制总学分：","小于控制总学分：")&amp;ABS(D217-IF(C2="4",170,210))&amp;"学分！"</f>
        <v>大于控制总学分：57学分！</v>
      </c>
      <c r="E218" s="335"/>
      <c r="F218" s="59"/>
      <c r="G218" s="59"/>
      <c r="H218" s="59"/>
      <c r="I218" s="59"/>
      <c r="J218" s="59"/>
      <c r="K218" s="59"/>
      <c r="L218" s="59"/>
      <c r="M218" s="59"/>
      <c r="N218" s="336" t="s">
        <v>432</v>
      </c>
      <c r="O218" s="337"/>
      <c r="P218" s="338" t="str">
        <f>IF(IF(O1="文科",20%,25%)&lt;P217,"大于控制比例：","小于控制学分：")&amp;TEXT(ABS(IF(O1="文科",20%,25%)-P217),"0.00%")&amp;"学分！"</f>
        <v>大于控制比例：12.21%学分！</v>
      </c>
      <c r="Q218" s="338"/>
      <c r="R218" s="59"/>
      <c r="S218" s="59"/>
      <c r="T218" s="59"/>
      <c r="U218" s="59"/>
    </row>
    <row r="219" spans="1:253" ht="18" customHeight="1">
      <c r="A219" s="145" t="s">
        <v>141</v>
      </c>
      <c r="N219" s="31"/>
      <c r="Z219" s="154"/>
    </row>
    <row r="220" spans="1:253" ht="18" customHeight="1">
      <c r="A220" s="145" t="s">
        <v>142</v>
      </c>
      <c r="N220" s="31"/>
      <c r="Z220" s="154"/>
    </row>
    <row r="221" spans="1:253" ht="18" customHeight="1">
      <c r="A221" s="145" t="s">
        <v>143</v>
      </c>
      <c r="Z221" s="154"/>
    </row>
    <row r="222" spans="1:253" ht="18" customHeight="1">
      <c r="A222" s="145" t="s">
        <v>144</v>
      </c>
      <c r="Z222" s="154"/>
    </row>
    <row r="223" spans="1:253" ht="18" customHeight="1">
      <c r="A223" s="146" t="s">
        <v>433</v>
      </c>
      <c r="Z223" s="154"/>
    </row>
    <row r="224" spans="1:253">
      <c r="Z224" s="154"/>
    </row>
    <row r="225" spans="25:30" ht="12">
      <c r="Z225" s="155"/>
    </row>
    <row r="226" spans="25:30" ht="12">
      <c r="Z226" s="155"/>
    </row>
    <row r="227" spans="25:30" ht="14.25">
      <c r="Y227" s="156" t="s">
        <v>434</v>
      </c>
      <c r="Z227" s="157" t="s">
        <v>435</v>
      </c>
      <c r="AA227" s="158" t="s">
        <v>149</v>
      </c>
      <c r="AB227" s="159" t="s">
        <v>101</v>
      </c>
      <c r="AC227" s="160" t="s">
        <v>150</v>
      </c>
      <c r="AD227" s="161" t="s">
        <v>151</v>
      </c>
    </row>
    <row r="228" spans="25:30" ht="14.25">
      <c r="Y228" s="156" t="s">
        <v>436</v>
      </c>
      <c r="Z228" s="157" t="s">
        <v>437</v>
      </c>
      <c r="AA228" s="158" t="s">
        <v>149</v>
      </c>
      <c r="AB228" s="159" t="s">
        <v>101</v>
      </c>
      <c r="AC228" s="160" t="s">
        <v>150</v>
      </c>
      <c r="AD228" s="162" t="s">
        <v>438</v>
      </c>
    </row>
    <row r="229" spans="25:30" ht="14.25">
      <c r="Y229" s="156" t="s">
        <v>439</v>
      </c>
      <c r="Z229" s="163" t="s">
        <v>440</v>
      </c>
      <c r="AA229" s="164" t="s">
        <v>160</v>
      </c>
      <c r="AB229" s="159" t="s">
        <v>101</v>
      </c>
      <c r="AC229" s="160" t="s">
        <v>161</v>
      </c>
      <c r="AD229" s="161" t="s">
        <v>162</v>
      </c>
    </row>
    <row r="230" spans="25:30" ht="14.25">
      <c r="Y230" s="156" t="s">
        <v>441</v>
      </c>
      <c r="Z230" s="157" t="s">
        <v>442</v>
      </c>
      <c r="AA230" s="158" t="s">
        <v>160</v>
      </c>
      <c r="AB230" s="159" t="s">
        <v>101</v>
      </c>
      <c r="AC230" s="160" t="s">
        <v>161</v>
      </c>
      <c r="AD230" s="161" t="s">
        <v>162</v>
      </c>
    </row>
    <row r="231" spans="25:30" ht="14.25">
      <c r="Y231" s="156" t="s">
        <v>362</v>
      </c>
      <c r="Z231" s="157" t="s">
        <v>443</v>
      </c>
      <c r="AA231" s="158" t="s">
        <v>361</v>
      </c>
      <c r="AB231" s="159" t="s">
        <v>101</v>
      </c>
      <c r="AC231" s="160" t="s">
        <v>150</v>
      </c>
      <c r="AD231" s="162" t="s">
        <v>173</v>
      </c>
    </row>
    <row r="232" spans="25:30" ht="14.25">
      <c r="Y232" s="156" t="s">
        <v>444</v>
      </c>
      <c r="Z232" s="163" t="s">
        <v>445</v>
      </c>
      <c r="AA232" s="164" t="s">
        <v>212</v>
      </c>
      <c r="AB232" s="159" t="s">
        <v>101</v>
      </c>
      <c r="AC232" s="160" t="s">
        <v>150</v>
      </c>
      <c r="AD232" s="162" t="s">
        <v>151</v>
      </c>
    </row>
    <row r="233" spans="25:30" ht="14.25">
      <c r="Y233" s="156" t="s">
        <v>446</v>
      </c>
      <c r="Z233" s="157" t="s">
        <v>447</v>
      </c>
      <c r="AA233" s="158" t="s">
        <v>221</v>
      </c>
      <c r="AB233" s="159" t="s">
        <v>101</v>
      </c>
      <c r="AC233" s="160" t="s">
        <v>161</v>
      </c>
      <c r="AD233" s="162" t="s">
        <v>162</v>
      </c>
    </row>
    <row r="234" spans="25:30" ht="14.25">
      <c r="Y234" s="156" t="s">
        <v>448</v>
      </c>
      <c r="Z234" s="157" t="s">
        <v>449</v>
      </c>
      <c r="AA234" s="158" t="s">
        <v>230</v>
      </c>
      <c r="AB234" s="159" t="s">
        <v>101</v>
      </c>
      <c r="AC234" s="160" t="s">
        <v>161</v>
      </c>
      <c r="AD234" s="162" t="s">
        <v>162</v>
      </c>
    </row>
    <row r="235" spans="25:30" ht="14.25">
      <c r="Y235" s="156" t="s">
        <v>450</v>
      </c>
      <c r="Z235" s="157" t="s">
        <v>451</v>
      </c>
      <c r="AA235" s="158" t="s">
        <v>318</v>
      </c>
      <c r="AB235" s="159" t="s">
        <v>101</v>
      </c>
      <c r="AC235" s="160" t="s">
        <v>150</v>
      </c>
      <c r="AD235" s="162" t="s">
        <v>203</v>
      </c>
    </row>
    <row r="236" spans="25:30" ht="14.25">
      <c r="Y236" s="156" t="s">
        <v>452</v>
      </c>
      <c r="Z236" s="163" t="s">
        <v>453</v>
      </c>
      <c r="AA236" s="164" t="s">
        <v>321</v>
      </c>
      <c r="AB236" s="159" t="s">
        <v>101</v>
      </c>
      <c r="AC236" s="160" t="s">
        <v>150</v>
      </c>
      <c r="AD236" s="161" t="s">
        <v>290</v>
      </c>
    </row>
    <row r="237" spans="25:30" ht="14.25">
      <c r="Y237" s="156" t="s">
        <v>454</v>
      </c>
      <c r="Z237" s="157" t="s">
        <v>455</v>
      </c>
      <c r="AA237" s="164" t="s">
        <v>321</v>
      </c>
      <c r="AB237" s="159" t="s">
        <v>101</v>
      </c>
      <c r="AC237" s="160" t="s">
        <v>150</v>
      </c>
      <c r="AD237" s="161" t="s">
        <v>151</v>
      </c>
    </row>
    <row r="238" spans="25:30" ht="14.25">
      <c r="Y238" s="156" t="s">
        <v>456</v>
      </c>
      <c r="Z238" s="157" t="s">
        <v>457</v>
      </c>
      <c r="AA238" s="158" t="s">
        <v>336</v>
      </c>
      <c r="AB238" s="159" t="s">
        <v>101</v>
      </c>
      <c r="AC238" s="160" t="s">
        <v>161</v>
      </c>
      <c r="AD238" s="162" t="s">
        <v>162</v>
      </c>
    </row>
    <row r="241" spans="25:26" ht="12">
      <c r="Y241" s="165" t="s">
        <v>358</v>
      </c>
      <c r="Z241" s="166"/>
    </row>
    <row r="242" spans="25:26" ht="12">
      <c r="Y242" s="167" t="s">
        <v>1</v>
      </c>
      <c r="Z242" s="168" t="s">
        <v>359</v>
      </c>
    </row>
    <row r="243" spans="25:26" ht="12">
      <c r="Y243" s="169" t="s">
        <v>336</v>
      </c>
      <c r="Z243" s="170">
        <v>2</v>
      </c>
    </row>
    <row r="244" spans="25:26" ht="12">
      <c r="Y244" s="169" t="s">
        <v>258</v>
      </c>
      <c r="Z244" s="170">
        <v>1</v>
      </c>
    </row>
    <row r="245" spans="25:26" ht="12">
      <c r="Y245" s="169" t="s">
        <v>246</v>
      </c>
      <c r="Z245" s="170">
        <v>1</v>
      </c>
    </row>
    <row r="246" spans="25:26" ht="12">
      <c r="Y246" s="169" t="s">
        <v>283</v>
      </c>
      <c r="Z246" s="170">
        <v>1</v>
      </c>
    </row>
    <row r="247" spans="25:26" ht="12">
      <c r="Y247" s="169" t="s">
        <v>310</v>
      </c>
      <c r="Z247" s="170">
        <v>2</v>
      </c>
    </row>
    <row r="248" spans="25:26" ht="12">
      <c r="Y248" s="169" t="s">
        <v>172</v>
      </c>
      <c r="Z248" s="170">
        <v>2</v>
      </c>
    </row>
    <row r="249" spans="25:26" ht="12">
      <c r="Y249" s="169" t="s">
        <v>315</v>
      </c>
      <c r="Z249" s="170">
        <v>1</v>
      </c>
    </row>
    <row r="250" spans="25:26" ht="12">
      <c r="Y250" s="169" t="s">
        <v>221</v>
      </c>
      <c r="Z250" s="170">
        <v>2</v>
      </c>
    </row>
    <row r="251" spans="25:26" ht="12">
      <c r="Y251" s="169" t="s">
        <v>237</v>
      </c>
      <c r="Z251" s="170">
        <v>1</v>
      </c>
    </row>
    <row r="252" spans="25:26" ht="12">
      <c r="Y252" s="169" t="s">
        <v>360</v>
      </c>
      <c r="Z252" s="170">
        <v>1</v>
      </c>
    </row>
    <row r="253" spans="25:26" ht="12">
      <c r="Y253" s="169" t="s">
        <v>276</v>
      </c>
      <c r="Z253" s="170">
        <v>1</v>
      </c>
    </row>
    <row r="254" spans="25:26" ht="12">
      <c r="Y254" s="169" t="s">
        <v>347</v>
      </c>
      <c r="Z254" s="170">
        <v>2</v>
      </c>
    </row>
    <row r="255" spans="25:26" ht="12">
      <c r="Y255" s="169" t="s">
        <v>202</v>
      </c>
      <c r="Z255" s="170">
        <v>2</v>
      </c>
    </row>
    <row r="256" spans="25:26" ht="12">
      <c r="Y256" s="169" t="s">
        <v>160</v>
      </c>
      <c r="Z256" s="170">
        <v>2</v>
      </c>
    </row>
    <row r="257" spans="25:26" ht="12">
      <c r="Y257" s="169" t="s">
        <v>361</v>
      </c>
      <c r="Z257" s="170">
        <v>2</v>
      </c>
    </row>
    <row r="258" spans="25:26" ht="12">
      <c r="Y258" s="169" t="s">
        <v>186</v>
      </c>
      <c r="Z258" s="170">
        <v>2</v>
      </c>
    </row>
    <row r="259" spans="25:26" ht="12">
      <c r="Y259" s="169" t="s">
        <v>230</v>
      </c>
      <c r="Z259" s="170">
        <v>1</v>
      </c>
    </row>
    <row r="260" spans="25:26" ht="12">
      <c r="Y260" s="169" t="s">
        <v>318</v>
      </c>
      <c r="Z260" s="170">
        <v>2</v>
      </c>
    </row>
    <row r="261" spans="25:26" ht="12">
      <c r="Y261" s="169" t="s">
        <v>212</v>
      </c>
      <c r="Z261" s="170">
        <v>1</v>
      </c>
    </row>
    <row r="262" spans="25:26" ht="12">
      <c r="Y262" s="169" t="s">
        <v>149</v>
      </c>
      <c r="Z262" s="170">
        <v>1</v>
      </c>
    </row>
    <row r="263" spans="25:26" ht="12">
      <c r="Y263" s="169" t="s">
        <v>353</v>
      </c>
      <c r="Z263" s="170">
        <v>1</v>
      </c>
    </row>
    <row r="264" spans="25:26" ht="12">
      <c r="Y264" s="169" t="s">
        <v>297</v>
      </c>
      <c r="Z264" s="170">
        <v>1</v>
      </c>
    </row>
    <row r="265" spans="25:26" ht="13.5">
      <c r="Y265" s="169" t="s">
        <v>321</v>
      </c>
      <c r="Z265" s="171">
        <v>1</v>
      </c>
    </row>
  </sheetData>
  <sheetProtection password="CBB8" sheet="1" objects="1" scenarios="1" formatCells="0" formatColumns="0" formatRows="0" insertRows="0" deleteRows="0"/>
  <protectedRanges>
    <protectedRange password="CE28" sqref="A5" name="区域1_1"/>
  </protectedRanges>
  <mergeCells count="645">
    <mergeCell ref="X80:X81"/>
    <mergeCell ref="X116:X117"/>
    <mergeCell ref="X125:X126"/>
    <mergeCell ref="X146:X147"/>
    <mergeCell ref="X21:X22"/>
    <mergeCell ref="X48:X49"/>
    <mergeCell ref="X54:X55"/>
    <mergeCell ref="X71:X72"/>
    <mergeCell ref="A196:B197"/>
    <mergeCell ref="L196:N197"/>
    <mergeCell ref="C196:K196"/>
    <mergeCell ref="C197:E197"/>
    <mergeCell ref="F197:H197"/>
    <mergeCell ref="I197:K197"/>
    <mergeCell ref="X162:X163"/>
    <mergeCell ref="X179:X180"/>
    <mergeCell ref="A146:B147"/>
    <mergeCell ref="C146:I147"/>
    <mergeCell ref="O196:Q197"/>
    <mergeCell ref="W162:W163"/>
    <mergeCell ref="W179:W180"/>
    <mergeCell ref="V162:V163"/>
    <mergeCell ref="V179:V180"/>
    <mergeCell ref="V21:V22"/>
    <mergeCell ref="V48:V49"/>
    <mergeCell ref="V54:V55"/>
    <mergeCell ref="V71:V72"/>
    <mergeCell ref="V80:V81"/>
    <mergeCell ref="V116:V117"/>
    <mergeCell ref="V125:V126"/>
    <mergeCell ref="V146:V147"/>
    <mergeCell ref="W80:W81"/>
    <mergeCell ref="W116:W117"/>
    <mergeCell ref="W125:W126"/>
    <mergeCell ref="W146:W147"/>
    <mergeCell ref="W21:W22"/>
    <mergeCell ref="W48:W49"/>
    <mergeCell ref="W54:W55"/>
    <mergeCell ref="W71:W72"/>
    <mergeCell ref="T179:T180"/>
    <mergeCell ref="U21:U22"/>
    <mergeCell ref="U48:U49"/>
    <mergeCell ref="U54:U55"/>
    <mergeCell ref="U71:U72"/>
    <mergeCell ref="U80:U81"/>
    <mergeCell ref="U116:U117"/>
    <mergeCell ref="U125:U126"/>
    <mergeCell ref="U146:U147"/>
    <mergeCell ref="U162:U163"/>
    <mergeCell ref="U179:U180"/>
    <mergeCell ref="T21:T22"/>
    <mergeCell ref="T48:T49"/>
    <mergeCell ref="T54:T55"/>
    <mergeCell ref="T71:T72"/>
    <mergeCell ref="T80:T81"/>
    <mergeCell ref="T116:T117"/>
    <mergeCell ref="T125:T126"/>
    <mergeCell ref="T146:T147"/>
    <mergeCell ref="T162:T163"/>
    <mergeCell ref="R179:R180"/>
    <mergeCell ref="S21:S22"/>
    <mergeCell ref="S48:S49"/>
    <mergeCell ref="S54:S55"/>
    <mergeCell ref="S71:S72"/>
    <mergeCell ref="S80:S81"/>
    <mergeCell ref="S116:S117"/>
    <mergeCell ref="S125:S126"/>
    <mergeCell ref="S146:S147"/>
    <mergeCell ref="S162:S163"/>
    <mergeCell ref="S179:S180"/>
    <mergeCell ref="R21:R22"/>
    <mergeCell ref="R48:R49"/>
    <mergeCell ref="R54:R55"/>
    <mergeCell ref="R71:R72"/>
    <mergeCell ref="R80:R81"/>
    <mergeCell ref="R116:R117"/>
    <mergeCell ref="R125:R126"/>
    <mergeCell ref="R146:R147"/>
    <mergeCell ref="R162:R163"/>
    <mergeCell ref="O54:O55"/>
    <mergeCell ref="O71:O72"/>
    <mergeCell ref="A70:Q70"/>
    <mergeCell ref="K71:N71"/>
    <mergeCell ref="J71:J72"/>
    <mergeCell ref="A71:B72"/>
    <mergeCell ref="C71:I72"/>
    <mergeCell ref="A65:B65"/>
    <mergeCell ref="P21:P22"/>
    <mergeCell ref="P48:P49"/>
    <mergeCell ref="P54:P55"/>
    <mergeCell ref="P71:P72"/>
    <mergeCell ref="A52:Q52"/>
    <mergeCell ref="A53:Q53"/>
    <mergeCell ref="C44:I44"/>
    <mergeCell ref="A46:B46"/>
    <mergeCell ref="Q21:Q22"/>
    <mergeCell ref="Q48:Q49"/>
    <mergeCell ref="Q54:Q55"/>
    <mergeCell ref="Q71:Q72"/>
    <mergeCell ref="A68:B68"/>
    <mergeCell ref="C68:I68"/>
    <mergeCell ref="A69:B69"/>
    <mergeCell ref="C69:I69"/>
    <mergeCell ref="A218:C218"/>
    <mergeCell ref="D218:E218"/>
    <mergeCell ref="N218:O218"/>
    <mergeCell ref="P218:Q218"/>
    <mergeCell ref="O80:O81"/>
    <mergeCell ref="O116:O117"/>
    <mergeCell ref="P217:Q217"/>
    <mergeCell ref="O162:O163"/>
    <mergeCell ref="O179:O180"/>
    <mergeCell ref="P125:P126"/>
    <mergeCell ref="P216:Q216"/>
    <mergeCell ref="P215:Q215"/>
    <mergeCell ref="P214:Q214"/>
    <mergeCell ref="P80:P81"/>
    <mergeCell ref="P116:P117"/>
    <mergeCell ref="P146:P147"/>
    <mergeCell ref="P162:P163"/>
    <mergeCell ref="P179:P180"/>
    <mergeCell ref="Q80:Q81"/>
    <mergeCell ref="Q116:Q117"/>
    <mergeCell ref="Q125:Q126"/>
    <mergeCell ref="Q146:Q147"/>
    <mergeCell ref="Q162:Q163"/>
    <mergeCell ref="Q179:Q180"/>
    <mergeCell ref="A216:C216"/>
    <mergeCell ref="D216:E216"/>
    <mergeCell ref="F216:G216"/>
    <mergeCell ref="H216:I216"/>
    <mergeCell ref="J216:K216"/>
    <mergeCell ref="L216:M216"/>
    <mergeCell ref="N216:O216"/>
    <mergeCell ref="T216:U216"/>
    <mergeCell ref="A217:C217"/>
    <mergeCell ref="D217:E217"/>
    <mergeCell ref="F217:G217"/>
    <mergeCell ref="H217:I217"/>
    <mergeCell ref="J217:K217"/>
    <mergeCell ref="L217:M217"/>
    <mergeCell ref="N217:O217"/>
    <mergeCell ref="T217:U217"/>
    <mergeCell ref="R217:S217"/>
    <mergeCell ref="R216:S216"/>
    <mergeCell ref="A214:C214"/>
    <mergeCell ref="D214:E214"/>
    <mergeCell ref="F214:G214"/>
    <mergeCell ref="H214:I214"/>
    <mergeCell ref="J214:K214"/>
    <mergeCell ref="L214:M214"/>
    <mergeCell ref="N214:O214"/>
    <mergeCell ref="T214:U214"/>
    <mergeCell ref="A215:C215"/>
    <mergeCell ref="D215:E215"/>
    <mergeCell ref="F215:G215"/>
    <mergeCell ref="H215:I215"/>
    <mergeCell ref="J215:K215"/>
    <mergeCell ref="L215:M215"/>
    <mergeCell ref="N215:O215"/>
    <mergeCell ref="T215:U215"/>
    <mergeCell ref="R215:S215"/>
    <mergeCell ref="R214:S214"/>
    <mergeCell ref="T212:U212"/>
    <mergeCell ref="A213:C213"/>
    <mergeCell ref="D213:E213"/>
    <mergeCell ref="F213:G213"/>
    <mergeCell ref="H213:I213"/>
    <mergeCell ref="J213:K213"/>
    <mergeCell ref="L213:M213"/>
    <mergeCell ref="N213:O213"/>
    <mergeCell ref="P213:Q213"/>
    <mergeCell ref="R213:S213"/>
    <mergeCell ref="T213:U213"/>
    <mergeCell ref="A212:C212"/>
    <mergeCell ref="D212:E212"/>
    <mergeCell ref="F212:G212"/>
    <mergeCell ref="H212:I212"/>
    <mergeCell ref="J212:K212"/>
    <mergeCell ref="L212:M212"/>
    <mergeCell ref="N212:O212"/>
    <mergeCell ref="P212:Q212"/>
    <mergeCell ref="R212:S212"/>
    <mergeCell ref="HK209:IA209"/>
    <mergeCell ref="IB209:IR209"/>
    <mergeCell ref="D210:Q210"/>
    <mergeCell ref="R210:U210"/>
    <mergeCell ref="EU209:FK209"/>
    <mergeCell ref="FL209:GB209"/>
    <mergeCell ref="GC209:GS209"/>
    <mergeCell ref="GT209:HJ209"/>
    <mergeCell ref="P211:Q211"/>
    <mergeCell ref="R211:S211"/>
    <mergeCell ref="T211:U211"/>
    <mergeCell ref="L211:M211"/>
    <mergeCell ref="F211:G211"/>
    <mergeCell ref="H211:I211"/>
    <mergeCell ref="J211:K211"/>
    <mergeCell ref="N211:O211"/>
    <mergeCell ref="DM209:EC209"/>
    <mergeCell ref="ED209:ET209"/>
    <mergeCell ref="A209:Q209"/>
    <mergeCell ref="AF209:AV209"/>
    <mergeCell ref="AW209:BM209"/>
    <mergeCell ref="BN209:CD209"/>
    <mergeCell ref="CE209:CU209"/>
    <mergeCell ref="CV209:DL209"/>
    <mergeCell ref="R206:U206"/>
    <mergeCell ref="A207:B207"/>
    <mergeCell ref="C207:E207"/>
    <mergeCell ref="F207:H207"/>
    <mergeCell ref="I207:K207"/>
    <mergeCell ref="L207:N207"/>
    <mergeCell ref="O207:Q207"/>
    <mergeCell ref="O206:Q206"/>
    <mergeCell ref="A206:B206"/>
    <mergeCell ref="L206:N206"/>
    <mergeCell ref="C205:E205"/>
    <mergeCell ref="F205:H205"/>
    <mergeCell ref="I205:K205"/>
    <mergeCell ref="L205:N205"/>
    <mergeCell ref="O205:Q205"/>
    <mergeCell ref="A205:B205"/>
    <mergeCell ref="D211:E211"/>
    <mergeCell ref="A210:C211"/>
    <mergeCell ref="L208:N208"/>
    <mergeCell ref="O208:Q208"/>
    <mergeCell ref="C206:E206"/>
    <mergeCell ref="F206:H206"/>
    <mergeCell ref="I206:K206"/>
    <mergeCell ref="A208:B208"/>
    <mergeCell ref="C208:E208"/>
    <mergeCell ref="F208:H208"/>
    <mergeCell ref="I208:K208"/>
    <mergeCell ref="L204:N204"/>
    <mergeCell ref="A203:B203"/>
    <mergeCell ref="C203:E203"/>
    <mergeCell ref="F203:H203"/>
    <mergeCell ref="I203:K203"/>
    <mergeCell ref="L203:N203"/>
    <mergeCell ref="O203:Q203"/>
    <mergeCell ref="A204:B204"/>
    <mergeCell ref="C204:E204"/>
    <mergeCell ref="F204:H204"/>
    <mergeCell ref="I204:K204"/>
    <mergeCell ref="O204:Q204"/>
    <mergeCell ref="L200:N200"/>
    <mergeCell ref="O200:Q200"/>
    <mergeCell ref="L199:N199"/>
    <mergeCell ref="O199:Q199"/>
    <mergeCell ref="A200:B200"/>
    <mergeCell ref="C200:E200"/>
    <mergeCell ref="F200:H200"/>
    <mergeCell ref="I200:K200"/>
    <mergeCell ref="L202:N202"/>
    <mergeCell ref="O202:Q202"/>
    <mergeCell ref="A201:B201"/>
    <mergeCell ref="C201:E201"/>
    <mergeCell ref="F201:H201"/>
    <mergeCell ref="I201:K201"/>
    <mergeCell ref="L201:N201"/>
    <mergeCell ref="O201:Q201"/>
    <mergeCell ref="A202:B202"/>
    <mergeCell ref="C202:E202"/>
    <mergeCell ref="F202:H202"/>
    <mergeCell ref="I202:K202"/>
    <mergeCell ref="A198:B198"/>
    <mergeCell ref="C198:E198"/>
    <mergeCell ref="F198:H198"/>
    <mergeCell ref="I198:K198"/>
    <mergeCell ref="L198:N198"/>
    <mergeCell ref="O198:Q198"/>
    <mergeCell ref="A199:B199"/>
    <mergeCell ref="C199:E199"/>
    <mergeCell ref="F199:H199"/>
    <mergeCell ref="I199:K199"/>
    <mergeCell ref="A194:B194"/>
    <mergeCell ref="C194:I194"/>
    <mergeCell ref="A193:B193"/>
    <mergeCell ref="C193:I193"/>
    <mergeCell ref="A195:Q195"/>
    <mergeCell ref="AF195:AV195"/>
    <mergeCell ref="HK195:IA195"/>
    <mergeCell ref="IB195:IR195"/>
    <mergeCell ref="AW195:BM195"/>
    <mergeCell ref="BN195:CD195"/>
    <mergeCell ref="CE195:CU195"/>
    <mergeCell ref="CV195:DL195"/>
    <mergeCell ref="DM195:EC195"/>
    <mergeCell ref="ED195:ET195"/>
    <mergeCell ref="EU195:FK195"/>
    <mergeCell ref="FL195:GB195"/>
    <mergeCell ref="GC195:GS195"/>
    <mergeCell ref="GT195:HJ195"/>
    <mergeCell ref="A192:B192"/>
    <mergeCell ref="C192:I192"/>
    <mergeCell ref="A187:B187"/>
    <mergeCell ref="C187:I187"/>
    <mergeCell ref="A188:B188"/>
    <mergeCell ref="C188:I188"/>
    <mergeCell ref="A189:B189"/>
    <mergeCell ref="C189:I189"/>
    <mergeCell ref="A190:B190"/>
    <mergeCell ref="C190:I190"/>
    <mergeCell ref="A191:B191"/>
    <mergeCell ref="C191:I191"/>
    <mergeCell ref="A186:B186"/>
    <mergeCell ref="C186:I186"/>
    <mergeCell ref="A181:B181"/>
    <mergeCell ref="C181:I181"/>
    <mergeCell ref="A182:B182"/>
    <mergeCell ref="C182:I182"/>
    <mergeCell ref="A183:B183"/>
    <mergeCell ref="C183:I183"/>
    <mergeCell ref="A184:B184"/>
    <mergeCell ref="C184:I184"/>
    <mergeCell ref="A185:B185"/>
    <mergeCell ref="C185:I185"/>
    <mergeCell ref="A178:Q178"/>
    <mergeCell ref="K179:N179"/>
    <mergeCell ref="J179:J180"/>
    <mergeCell ref="A179:B180"/>
    <mergeCell ref="C179:I180"/>
    <mergeCell ref="A176:B176"/>
    <mergeCell ref="C176:I176"/>
    <mergeCell ref="A177:B177"/>
    <mergeCell ref="C177:I177"/>
    <mergeCell ref="A175:B175"/>
    <mergeCell ref="C175:I175"/>
    <mergeCell ref="A170:B170"/>
    <mergeCell ref="C170:I170"/>
    <mergeCell ref="A171:B171"/>
    <mergeCell ref="C171:I171"/>
    <mergeCell ref="A172:B172"/>
    <mergeCell ref="C172:I172"/>
    <mergeCell ref="A173:B173"/>
    <mergeCell ref="C173:I173"/>
    <mergeCell ref="A174:B174"/>
    <mergeCell ref="C174:I174"/>
    <mergeCell ref="A162:B163"/>
    <mergeCell ref="C162:I163"/>
    <mergeCell ref="A158:B158"/>
    <mergeCell ref="C158:I158"/>
    <mergeCell ref="A159:B159"/>
    <mergeCell ref="C159:I159"/>
    <mergeCell ref="A160:Q160"/>
    <mergeCell ref="A161:Q161"/>
    <mergeCell ref="A169:B169"/>
    <mergeCell ref="C169:I169"/>
    <mergeCell ref="K162:N162"/>
    <mergeCell ref="A164:B164"/>
    <mergeCell ref="C164:I164"/>
    <mergeCell ref="A165:B165"/>
    <mergeCell ref="C165:I165"/>
    <mergeCell ref="A166:B166"/>
    <mergeCell ref="C166:I166"/>
    <mergeCell ref="J162:J163"/>
    <mergeCell ref="A167:B167"/>
    <mergeCell ref="C167:I167"/>
    <mergeCell ref="A168:B168"/>
    <mergeCell ref="C168:I168"/>
    <mergeCell ref="A157:B157"/>
    <mergeCell ref="C157:I157"/>
    <mergeCell ref="A152:B152"/>
    <mergeCell ref="C152:I152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1:B151"/>
    <mergeCell ref="C151:I151"/>
    <mergeCell ref="A144:B144"/>
    <mergeCell ref="C144:I144"/>
    <mergeCell ref="A145:Q145"/>
    <mergeCell ref="K146:N146"/>
    <mergeCell ref="A148:B148"/>
    <mergeCell ref="C148:I148"/>
    <mergeCell ref="J146:J147"/>
    <mergeCell ref="O146:O147"/>
    <mergeCell ref="A149:B149"/>
    <mergeCell ref="C149:I149"/>
    <mergeCell ref="A150:B150"/>
    <mergeCell ref="C150:I150"/>
    <mergeCell ref="A143:B143"/>
    <mergeCell ref="C143:I143"/>
    <mergeCell ref="A138:B138"/>
    <mergeCell ref="C138:I138"/>
    <mergeCell ref="A139:B139"/>
    <mergeCell ref="C139:I139"/>
    <mergeCell ref="A140:B140"/>
    <mergeCell ref="C140:I140"/>
    <mergeCell ref="A141:B141"/>
    <mergeCell ref="C141:I141"/>
    <mergeCell ref="A142:B142"/>
    <mergeCell ref="C142:I142"/>
    <mergeCell ref="A137:B137"/>
    <mergeCell ref="C137:I137"/>
    <mergeCell ref="A132:B132"/>
    <mergeCell ref="C132:I132"/>
    <mergeCell ref="A133:B133"/>
    <mergeCell ref="C133:I133"/>
    <mergeCell ref="A134:B134"/>
    <mergeCell ref="C134:I134"/>
    <mergeCell ref="A135:B135"/>
    <mergeCell ref="C135:I135"/>
    <mergeCell ref="A136:B136"/>
    <mergeCell ref="C136:I136"/>
    <mergeCell ref="A131:B131"/>
    <mergeCell ref="C131:I131"/>
    <mergeCell ref="A123:Q123"/>
    <mergeCell ref="A124:Q124"/>
    <mergeCell ref="K125:N125"/>
    <mergeCell ref="A127:B127"/>
    <mergeCell ref="C127:I127"/>
    <mergeCell ref="A128:B128"/>
    <mergeCell ref="C128:I128"/>
    <mergeCell ref="J125:J126"/>
    <mergeCell ref="A129:B129"/>
    <mergeCell ref="C129:I129"/>
    <mergeCell ref="A130:B130"/>
    <mergeCell ref="C130:I130"/>
    <mergeCell ref="O125:O126"/>
    <mergeCell ref="A120:B120"/>
    <mergeCell ref="C120:I120"/>
    <mergeCell ref="A121:B121"/>
    <mergeCell ref="C121:I121"/>
    <mergeCell ref="A122:B122"/>
    <mergeCell ref="C122:I122"/>
    <mergeCell ref="A125:B126"/>
    <mergeCell ref="C125:I126"/>
    <mergeCell ref="A119:B119"/>
    <mergeCell ref="C119:I119"/>
    <mergeCell ref="J116:J117"/>
    <mergeCell ref="A116:B117"/>
    <mergeCell ref="C116:I117"/>
    <mergeCell ref="A115:Q115"/>
    <mergeCell ref="K116:N116"/>
    <mergeCell ref="A118:B118"/>
    <mergeCell ref="C118:I118"/>
    <mergeCell ref="A114:B114"/>
    <mergeCell ref="C114:I114"/>
    <mergeCell ref="A109:B109"/>
    <mergeCell ref="C109:I109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08:B108"/>
    <mergeCell ref="C108:I108"/>
    <mergeCell ref="A103:B103"/>
    <mergeCell ref="C103:I103"/>
    <mergeCell ref="A104:B104"/>
    <mergeCell ref="C104:I104"/>
    <mergeCell ref="A105:B105"/>
    <mergeCell ref="C105:I105"/>
    <mergeCell ref="A106:B106"/>
    <mergeCell ref="C106:I106"/>
    <mergeCell ref="A107:B107"/>
    <mergeCell ref="C107:I107"/>
    <mergeCell ref="A102:B102"/>
    <mergeCell ref="C102:I102"/>
    <mergeCell ref="A97:B97"/>
    <mergeCell ref="C97:I97"/>
    <mergeCell ref="A98:B98"/>
    <mergeCell ref="C98:I98"/>
    <mergeCell ref="A99:B99"/>
    <mergeCell ref="C99:I99"/>
    <mergeCell ref="A100:B100"/>
    <mergeCell ref="C100:I100"/>
    <mergeCell ref="A101:B101"/>
    <mergeCell ref="C101:I101"/>
    <mergeCell ref="A96:B96"/>
    <mergeCell ref="C96:I96"/>
    <mergeCell ref="A91:B91"/>
    <mergeCell ref="C91:I91"/>
    <mergeCell ref="A92:B92"/>
    <mergeCell ref="C92:I92"/>
    <mergeCell ref="A93:B93"/>
    <mergeCell ref="C93:I93"/>
    <mergeCell ref="A94:B94"/>
    <mergeCell ref="C94:I94"/>
    <mergeCell ref="A95:B95"/>
    <mergeCell ref="C95:I95"/>
    <mergeCell ref="A90:B90"/>
    <mergeCell ref="C90:I90"/>
    <mergeCell ref="A85:B85"/>
    <mergeCell ref="C85:I85"/>
    <mergeCell ref="A86:B86"/>
    <mergeCell ref="C86:I86"/>
    <mergeCell ref="A87:B87"/>
    <mergeCell ref="C87:I87"/>
    <mergeCell ref="A88:B88"/>
    <mergeCell ref="C88:I88"/>
    <mergeCell ref="A89:B89"/>
    <mergeCell ref="C89:I89"/>
    <mergeCell ref="A84:B84"/>
    <mergeCell ref="C84:I84"/>
    <mergeCell ref="J80:J81"/>
    <mergeCell ref="A80:B81"/>
    <mergeCell ref="C80:I81"/>
    <mergeCell ref="K80:N80"/>
    <mergeCell ref="A82:B82"/>
    <mergeCell ref="C82:I82"/>
    <mergeCell ref="A83:B83"/>
    <mergeCell ref="C83:I83"/>
    <mergeCell ref="A78:Q78"/>
    <mergeCell ref="A79:Q79"/>
    <mergeCell ref="A73:B73"/>
    <mergeCell ref="C73:I73"/>
    <mergeCell ref="A74:B74"/>
    <mergeCell ref="C74:I74"/>
    <mergeCell ref="A75:B75"/>
    <mergeCell ref="C75:I75"/>
    <mergeCell ref="A76:B76"/>
    <mergeCell ref="C76:I76"/>
    <mergeCell ref="A77:B77"/>
    <mergeCell ref="C77:I77"/>
    <mergeCell ref="A63:B63"/>
    <mergeCell ref="C63:I63"/>
    <mergeCell ref="A62:B62"/>
    <mergeCell ref="C62:I62"/>
    <mergeCell ref="C65:I65"/>
    <mergeCell ref="A66:B66"/>
    <mergeCell ref="C66:I66"/>
    <mergeCell ref="A67:B67"/>
    <mergeCell ref="C67:I67"/>
    <mergeCell ref="A64:B64"/>
    <mergeCell ref="C64:I64"/>
    <mergeCell ref="J54:J55"/>
    <mergeCell ref="A54:B55"/>
    <mergeCell ref="C54:I55"/>
    <mergeCell ref="K54:N54"/>
    <mergeCell ref="A56:B56"/>
    <mergeCell ref="C56:I56"/>
    <mergeCell ref="A60:B60"/>
    <mergeCell ref="C60:I60"/>
    <mergeCell ref="A61:B61"/>
    <mergeCell ref="C61:I61"/>
    <mergeCell ref="A59:B59"/>
    <mergeCell ref="C59:I59"/>
    <mergeCell ref="A50:B50"/>
    <mergeCell ref="C50:I50"/>
    <mergeCell ref="A51:B51"/>
    <mergeCell ref="C51:I51"/>
    <mergeCell ref="A58:B58"/>
    <mergeCell ref="C58:I58"/>
    <mergeCell ref="A57:B57"/>
    <mergeCell ref="C57:I57"/>
    <mergeCell ref="C42:I42"/>
    <mergeCell ref="A43:B43"/>
    <mergeCell ref="C43:I43"/>
    <mergeCell ref="A40:B40"/>
    <mergeCell ref="A44:B44"/>
    <mergeCell ref="C40:I40"/>
    <mergeCell ref="C46:I46"/>
    <mergeCell ref="A47:Q47"/>
    <mergeCell ref="K48:N48"/>
    <mergeCell ref="J48:J49"/>
    <mergeCell ref="A48:B49"/>
    <mergeCell ref="C48:I49"/>
    <mergeCell ref="A41:B41"/>
    <mergeCell ref="C41:I41"/>
    <mergeCell ref="A42:B42"/>
    <mergeCell ref="O48:O49"/>
    <mergeCell ref="A34:B34"/>
    <mergeCell ref="C34:I34"/>
    <mergeCell ref="A29:B29"/>
    <mergeCell ref="C29:I29"/>
    <mergeCell ref="A30:B30"/>
    <mergeCell ref="C30:I30"/>
    <mergeCell ref="A38:B38"/>
    <mergeCell ref="C38:I38"/>
    <mergeCell ref="A39:B39"/>
    <mergeCell ref="A31:B31"/>
    <mergeCell ref="C31:I31"/>
    <mergeCell ref="A32:B32"/>
    <mergeCell ref="C32:I32"/>
    <mergeCell ref="A33:B33"/>
    <mergeCell ref="C33:I33"/>
    <mergeCell ref="A35:B35"/>
    <mergeCell ref="C35:I35"/>
    <mergeCell ref="A36:B36"/>
    <mergeCell ref="C36:I36"/>
    <mergeCell ref="A37:B37"/>
    <mergeCell ref="C37:I37"/>
    <mergeCell ref="C39:I39"/>
    <mergeCell ref="A21:B22"/>
    <mergeCell ref="C21:I22"/>
    <mergeCell ref="A15:Q15"/>
    <mergeCell ref="A16:Q16"/>
    <mergeCell ref="A17:Q17"/>
    <mergeCell ref="A18:Q18"/>
    <mergeCell ref="A19:Q19"/>
    <mergeCell ref="A20:Q20"/>
    <mergeCell ref="A28:B28"/>
    <mergeCell ref="C28:I28"/>
    <mergeCell ref="K21:N21"/>
    <mergeCell ref="A23:B23"/>
    <mergeCell ref="C23:I23"/>
    <mergeCell ref="A24:B24"/>
    <mergeCell ref="C24:I24"/>
    <mergeCell ref="A25:B25"/>
    <mergeCell ref="C25:I25"/>
    <mergeCell ref="J21:J22"/>
    <mergeCell ref="A26:B26"/>
    <mergeCell ref="C26:I26"/>
    <mergeCell ref="A27:B27"/>
    <mergeCell ref="C27:I27"/>
    <mergeCell ref="O21:O22"/>
    <mergeCell ref="A13:Q13"/>
    <mergeCell ref="A14:Q14"/>
    <mergeCell ref="A3:Q3"/>
    <mergeCell ref="A4:Q4"/>
    <mergeCell ref="A5:Q5"/>
    <mergeCell ref="A6:Q6"/>
    <mergeCell ref="A7:Q7"/>
    <mergeCell ref="A8:Q8"/>
    <mergeCell ref="A9:Q9"/>
    <mergeCell ref="A10:Q10"/>
    <mergeCell ref="A11:Q11"/>
    <mergeCell ref="A12:Q12"/>
    <mergeCell ref="M1:N1"/>
    <mergeCell ref="O1:Q1"/>
    <mergeCell ref="A1:B1"/>
    <mergeCell ref="C1:F1"/>
    <mergeCell ref="G1:H1"/>
    <mergeCell ref="I1:L1"/>
    <mergeCell ref="R1:S1"/>
    <mergeCell ref="V1:W1"/>
    <mergeCell ref="A2:B2"/>
    <mergeCell ref="D2:E2"/>
    <mergeCell ref="F2:H2"/>
    <mergeCell ref="I2:K2"/>
    <mergeCell ref="M2:N2"/>
    <mergeCell ref="O2:Q2"/>
    <mergeCell ref="R2:S2"/>
    <mergeCell ref="V2:W2"/>
  </mergeCells>
  <phoneticPr fontId="10" type="noConversion"/>
  <dataValidations count="1">
    <dataValidation type="list" allowBlank="1" showInputMessage="1" showErrorMessage="1" sqref="O2:Q2">
      <formula1>$Y$227:$Y$238</formula1>
    </dataValidation>
  </dataValidations>
  <printOptions horizontalCentered="1"/>
  <pageMargins left="1.18" right="1.18" top="0.98" bottom="0.79" header="0.31" footer="0.39"/>
  <pageSetup paperSize="9" orientation="portrait" verticalDpi="300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opLeftCell="A46" zoomScaleSheetLayoutView="100" workbookViewId="0">
      <selection sqref="A1:G1"/>
    </sheetView>
  </sheetViews>
  <sheetFormatPr defaultRowHeight="13.5"/>
  <cols>
    <col min="1" max="2" width="11.625" style="2" customWidth="1"/>
    <col min="3" max="3" width="11.625" style="3" customWidth="1"/>
    <col min="4" max="5" width="11.625" style="4" customWidth="1"/>
    <col min="6" max="7" width="11.625" style="3" customWidth="1"/>
    <col min="8" max="16384" width="9" style="2"/>
  </cols>
  <sheetData>
    <row r="1" spans="1:7" ht="30.75" customHeight="1">
      <c r="A1" s="388" t="s">
        <v>458</v>
      </c>
      <c r="B1" s="388"/>
      <c r="C1" s="388"/>
      <c r="D1" s="388"/>
      <c r="E1" s="388"/>
      <c r="F1" s="388"/>
      <c r="G1" s="388"/>
    </row>
    <row r="2" spans="1:7" ht="25.5" customHeight="1">
      <c r="A2" s="389" t="s">
        <v>459</v>
      </c>
      <c r="B2" s="389"/>
      <c r="C2" s="389"/>
      <c r="D2" s="389"/>
      <c r="E2" s="389"/>
      <c r="F2" s="389"/>
      <c r="G2" s="389"/>
    </row>
    <row r="3" spans="1:7" ht="35.1" customHeight="1">
      <c r="A3" s="386" t="s">
        <v>460</v>
      </c>
      <c r="B3" s="386"/>
      <c r="C3" s="386"/>
      <c r="D3" s="386"/>
      <c r="E3" s="386"/>
      <c r="F3" s="386"/>
      <c r="G3" s="386"/>
    </row>
    <row r="4" spans="1:7" ht="90.75" customHeight="1">
      <c r="A4" s="387" t="s">
        <v>461</v>
      </c>
      <c r="B4" s="387"/>
      <c r="C4" s="387"/>
      <c r="D4" s="387"/>
      <c r="E4" s="387"/>
      <c r="F4" s="387"/>
      <c r="G4" s="387"/>
    </row>
    <row r="5" spans="1:7" ht="35.1" customHeight="1">
      <c r="A5" s="386" t="s">
        <v>462</v>
      </c>
      <c r="B5" s="386"/>
      <c r="C5" s="386"/>
      <c r="D5" s="386"/>
      <c r="E5" s="386"/>
      <c r="F5" s="386"/>
      <c r="G5" s="386"/>
    </row>
    <row r="6" spans="1:7" ht="60" customHeight="1">
      <c r="A6" s="387" t="s">
        <v>463</v>
      </c>
      <c r="B6" s="387"/>
      <c r="C6" s="387"/>
      <c r="D6" s="387"/>
      <c r="E6" s="387"/>
      <c r="F6" s="387"/>
      <c r="G6" s="387"/>
    </row>
    <row r="7" spans="1:7" ht="45.75" customHeight="1">
      <c r="A7" s="387" t="s">
        <v>464</v>
      </c>
      <c r="B7" s="387"/>
      <c r="C7" s="387"/>
      <c r="D7" s="387"/>
      <c r="E7" s="387"/>
      <c r="F7" s="387"/>
      <c r="G7" s="387"/>
    </row>
    <row r="8" spans="1:7" ht="60" customHeight="1">
      <c r="A8" s="387" t="s">
        <v>465</v>
      </c>
      <c r="B8" s="387"/>
      <c r="C8" s="387"/>
      <c r="D8" s="387"/>
      <c r="E8" s="387"/>
      <c r="F8" s="387"/>
      <c r="G8" s="387"/>
    </row>
    <row r="9" spans="1:7" ht="60" customHeight="1">
      <c r="A9" s="387" t="s">
        <v>466</v>
      </c>
      <c r="B9" s="387"/>
      <c r="C9" s="387"/>
      <c r="D9" s="387"/>
      <c r="E9" s="387"/>
      <c r="F9" s="387"/>
      <c r="G9" s="387"/>
    </row>
    <row r="10" spans="1:7" ht="60" customHeight="1">
      <c r="A10" s="387" t="s">
        <v>467</v>
      </c>
      <c r="B10" s="387"/>
      <c r="C10" s="387"/>
      <c r="D10" s="387"/>
      <c r="E10" s="387"/>
      <c r="F10" s="387"/>
      <c r="G10" s="387"/>
    </row>
    <row r="11" spans="1:7" ht="35.1" customHeight="1">
      <c r="A11" s="386" t="s">
        <v>468</v>
      </c>
      <c r="B11" s="386"/>
      <c r="C11" s="386"/>
      <c r="D11" s="386"/>
      <c r="E11" s="386"/>
      <c r="F11" s="386"/>
      <c r="G11" s="386"/>
    </row>
    <row r="12" spans="1:7" ht="42.75" customHeight="1">
      <c r="A12" s="387" t="s">
        <v>469</v>
      </c>
      <c r="B12" s="387"/>
      <c r="C12" s="387"/>
      <c r="D12" s="387"/>
      <c r="E12" s="387"/>
      <c r="F12" s="387"/>
      <c r="G12" s="387"/>
    </row>
    <row r="13" spans="1:7" ht="60" customHeight="1">
      <c r="A13" s="387" t="s">
        <v>470</v>
      </c>
      <c r="B13" s="387"/>
      <c r="C13" s="387"/>
      <c r="D13" s="387"/>
      <c r="E13" s="387"/>
      <c r="F13" s="387"/>
      <c r="G13" s="387"/>
    </row>
    <row r="14" spans="1:7" ht="78.75" customHeight="1">
      <c r="A14" s="387" t="s">
        <v>471</v>
      </c>
      <c r="B14" s="387"/>
      <c r="C14" s="387"/>
      <c r="D14" s="387"/>
      <c r="E14" s="387"/>
      <c r="F14" s="387"/>
      <c r="G14" s="387"/>
    </row>
    <row r="15" spans="1:7" ht="29.25" customHeight="1">
      <c r="A15" s="386" t="s">
        <v>472</v>
      </c>
      <c r="B15" s="386"/>
      <c r="C15" s="386"/>
      <c r="D15" s="386"/>
      <c r="E15" s="386"/>
      <c r="F15" s="386"/>
      <c r="G15" s="386"/>
    </row>
    <row r="16" spans="1:7" ht="60" customHeight="1">
      <c r="A16" s="387" t="s">
        <v>473</v>
      </c>
      <c r="B16" s="387"/>
      <c r="C16" s="387"/>
      <c r="D16" s="387"/>
      <c r="E16" s="387"/>
      <c r="F16" s="387"/>
      <c r="G16" s="387"/>
    </row>
    <row r="17" spans="1:7" ht="60" customHeight="1">
      <c r="A17" s="387" t="s">
        <v>474</v>
      </c>
      <c r="B17" s="387"/>
      <c r="C17" s="387"/>
      <c r="D17" s="387"/>
      <c r="E17" s="387"/>
      <c r="F17" s="387"/>
      <c r="G17" s="387"/>
    </row>
    <row r="18" spans="1:7" ht="24" customHeight="1">
      <c r="A18" s="387" t="s">
        <v>475</v>
      </c>
      <c r="B18" s="387"/>
      <c r="C18" s="387"/>
      <c r="D18" s="387"/>
      <c r="E18" s="387"/>
      <c r="F18" s="387"/>
      <c r="G18" s="387"/>
    </row>
    <row r="19" spans="1:7" ht="117.75" customHeight="1">
      <c r="A19" s="387" t="s">
        <v>476</v>
      </c>
      <c r="B19" s="387"/>
      <c r="C19" s="387"/>
      <c r="D19" s="387"/>
      <c r="E19" s="387"/>
      <c r="F19" s="387"/>
      <c r="G19" s="387"/>
    </row>
    <row r="20" spans="1:7" ht="45" customHeight="1">
      <c r="A20" s="387" t="s">
        <v>477</v>
      </c>
      <c r="B20" s="387"/>
      <c r="C20" s="387"/>
      <c r="D20" s="387"/>
      <c r="E20" s="387"/>
      <c r="F20" s="387"/>
      <c r="G20" s="387"/>
    </row>
    <row r="21" spans="1:7" ht="35.1" customHeight="1">
      <c r="A21" s="386" t="s">
        <v>478</v>
      </c>
      <c r="B21" s="386"/>
      <c r="C21" s="386"/>
      <c r="D21" s="386"/>
      <c r="E21" s="386"/>
      <c r="F21" s="386"/>
      <c r="G21" s="386"/>
    </row>
    <row r="22" spans="1:7" ht="60" customHeight="1">
      <c r="A22" s="387" t="s">
        <v>479</v>
      </c>
      <c r="B22" s="387"/>
      <c r="C22" s="387"/>
      <c r="D22" s="387"/>
      <c r="E22" s="387"/>
      <c r="F22" s="387"/>
      <c r="G22" s="387"/>
    </row>
    <row r="23" spans="1:7" ht="72.75" customHeight="1">
      <c r="A23" s="387" t="s">
        <v>480</v>
      </c>
      <c r="B23" s="387"/>
      <c r="C23" s="387"/>
      <c r="D23" s="387"/>
      <c r="E23" s="387"/>
      <c r="F23" s="387"/>
      <c r="G23" s="387"/>
    </row>
    <row r="24" spans="1:7" ht="76.5" customHeight="1">
      <c r="A24" s="387" t="s">
        <v>481</v>
      </c>
      <c r="B24" s="387"/>
      <c r="C24" s="387"/>
      <c r="D24" s="387"/>
      <c r="E24" s="387"/>
      <c r="F24" s="387"/>
      <c r="G24" s="387"/>
    </row>
    <row r="25" spans="1:7" ht="35.1" customHeight="1">
      <c r="A25" s="386" t="s">
        <v>482</v>
      </c>
      <c r="B25" s="386"/>
      <c r="C25" s="386"/>
      <c r="D25" s="386"/>
      <c r="E25" s="386"/>
      <c r="F25" s="386"/>
      <c r="G25" s="386"/>
    </row>
    <row r="26" spans="1:7" ht="36" customHeight="1">
      <c r="A26" s="387" t="s">
        <v>483</v>
      </c>
      <c r="B26" s="387"/>
      <c r="C26" s="387"/>
      <c r="D26" s="387"/>
      <c r="E26" s="387"/>
      <c r="F26" s="387"/>
      <c r="G26" s="387"/>
    </row>
    <row r="27" spans="1:7" ht="43.5" customHeight="1">
      <c r="A27" s="387" t="s">
        <v>484</v>
      </c>
      <c r="B27" s="387"/>
      <c r="C27" s="387"/>
      <c r="D27" s="387"/>
      <c r="E27" s="387"/>
      <c r="F27" s="387"/>
      <c r="G27" s="387"/>
    </row>
    <row r="28" spans="1:7">
      <c r="A28" s="5"/>
      <c r="B28" s="5"/>
      <c r="C28" s="6"/>
      <c r="D28" s="7"/>
      <c r="E28" s="7"/>
      <c r="F28" s="6"/>
      <c r="G28" s="6"/>
    </row>
    <row r="29" spans="1:7">
      <c r="A29" s="5"/>
      <c r="B29" s="6"/>
      <c r="C29" s="7"/>
      <c r="D29" s="7"/>
      <c r="E29" s="6"/>
      <c r="F29" s="6"/>
      <c r="G29" s="5"/>
    </row>
    <row r="30" spans="1:7" ht="18.75">
      <c r="A30" s="395" t="s">
        <v>485</v>
      </c>
      <c r="B30" s="396"/>
      <c r="C30" s="396"/>
      <c r="D30" s="396"/>
      <c r="E30" s="396"/>
      <c r="F30" s="396"/>
      <c r="G30" s="396"/>
    </row>
    <row r="31" spans="1:7" ht="19.5" customHeight="1">
      <c r="A31" s="397" t="s">
        <v>486</v>
      </c>
      <c r="B31" s="398"/>
      <c r="C31" s="398"/>
      <c r="D31" s="398"/>
      <c r="E31" s="398"/>
      <c r="F31" s="398"/>
      <c r="G31" s="398"/>
    </row>
    <row r="32" spans="1:7" s="1" customFormat="1" ht="22.5" customHeight="1">
      <c r="A32" s="8" t="s">
        <v>9</v>
      </c>
      <c r="B32" s="8" t="s">
        <v>0</v>
      </c>
      <c r="C32" s="8" t="s">
        <v>1</v>
      </c>
      <c r="D32" s="8" t="s">
        <v>146</v>
      </c>
      <c r="E32" s="8" t="s">
        <v>2</v>
      </c>
      <c r="F32" s="8" t="s">
        <v>7</v>
      </c>
      <c r="G32" s="8" t="s">
        <v>33</v>
      </c>
    </row>
    <row r="33" spans="1:7" s="1" customFormat="1" ht="16.5" customHeight="1">
      <c r="A33" s="9" t="s">
        <v>487</v>
      </c>
      <c r="B33" s="10" t="s">
        <v>148</v>
      </c>
      <c r="C33" s="11" t="s">
        <v>149</v>
      </c>
      <c r="D33" s="11" t="s">
        <v>101</v>
      </c>
      <c r="E33" s="12" t="s">
        <v>150</v>
      </c>
      <c r="F33" s="12" t="s">
        <v>151</v>
      </c>
      <c r="G33" s="13"/>
    </row>
    <row r="34" spans="1:7" s="1" customFormat="1" ht="16.5" customHeight="1">
      <c r="A34" s="9" t="s">
        <v>434</v>
      </c>
      <c r="B34" s="10" t="s">
        <v>435</v>
      </c>
      <c r="C34" s="11" t="s">
        <v>149</v>
      </c>
      <c r="D34" s="11" t="s">
        <v>101</v>
      </c>
      <c r="E34" s="12" t="s">
        <v>150</v>
      </c>
      <c r="F34" s="12" t="s">
        <v>151</v>
      </c>
      <c r="G34" s="13" t="s">
        <v>488</v>
      </c>
    </row>
    <row r="35" spans="1:7" s="1" customFormat="1" ht="16.5" customHeight="1">
      <c r="A35" s="9" t="s">
        <v>152</v>
      </c>
      <c r="B35" s="10" t="s">
        <v>153</v>
      </c>
      <c r="C35" s="11" t="s">
        <v>149</v>
      </c>
      <c r="D35" s="11" t="s">
        <v>101</v>
      </c>
      <c r="E35" s="12" t="s">
        <v>150</v>
      </c>
      <c r="F35" s="12" t="s">
        <v>151</v>
      </c>
      <c r="G35" s="13"/>
    </row>
    <row r="36" spans="1:7" s="1" customFormat="1" ht="16.5" customHeight="1">
      <c r="A36" s="9" t="s">
        <v>154</v>
      </c>
      <c r="B36" s="10" t="s">
        <v>155</v>
      </c>
      <c r="C36" s="11" t="s">
        <v>149</v>
      </c>
      <c r="D36" s="11" t="s">
        <v>101</v>
      </c>
      <c r="E36" s="12" t="s">
        <v>150</v>
      </c>
      <c r="F36" s="12" t="s">
        <v>151</v>
      </c>
      <c r="G36" s="13"/>
    </row>
    <row r="37" spans="1:7" s="1" customFormat="1" ht="16.5" customHeight="1">
      <c r="A37" s="9" t="s">
        <v>436</v>
      </c>
      <c r="B37" s="10" t="s">
        <v>437</v>
      </c>
      <c r="C37" s="11" t="s">
        <v>149</v>
      </c>
      <c r="D37" s="11" t="s">
        <v>101</v>
      </c>
      <c r="E37" s="12" t="s">
        <v>150</v>
      </c>
      <c r="F37" s="12" t="s">
        <v>438</v>
      </c>
      <c r="G37" s="13" t="s">
        <v>489</v>
      </c>
    </row>
    <row r="38" spans="1:7" s="1" customFormat="1" ht="16.5" customHeight="1">
      <c r="A38" s="9" t="s">
        <v>156</v>
      </c>
      <c r="B38" s="10" t="s">
        <v>157</v>
      </c>
      <c r="C38" s="11" t="s">
        <v>149</v>
      </c>
      <c r="D38" s="11" t="s">
        <v>101</v>
      </c>
      <c r="E38" s="12" t="s">
        <v>150</v>
      </c>
      <c r="F38" s="12" t="s">
        <v>151</v>
      </c>
      <c r="G38" s="13"/>
    </row>
    <row r="39" spans="1:7" s="1" customFormat="1" ht="16.5" customHeight="1">
      <c r="A39" s="9" t="s">
        <v>439</v>
      </c>
      <c r="B39" s="10" t="s">
        <v>440</v>
      </c>
      <c r="C39" s="11" t="s">
        <v>160</v>
      </c>
      <c r="D39" s="11" t="s">
        <v>101</v>
      </c>
      <c r="E39" s="12" t="s">
        <v>161</v>
      </c>
      <c r="F39" s="12" t="s">
        <v>162</v>
      </c>
      <c r="G39" s="13" t="s">
        <v>488</v>
      </c>
    </row>
    <row r="40" spans="1:7" s="1" customFormat="1" ht="16.5" customHeight="1">
      <c r="A40" s="9" t="s">
        <v>158</v>
      </c>
      <c r="B40" s="10" t="s">
        <v>159</v>
      </c>
      <c r="C40" s="11" t="s">
        <v>160</v>
      </c>
      <c r="D40" s="11" t="s">
        <v>101</v>
      </c>
      <c r="E40" s="12" t="s">
        <v>161</v>
      </c>
      <c r="F40" s="12" t="s">
        <v>162</v>
      </c>
      <c r="G40" s="13"/>
    </row>
    <row r="41" spans="1:7" s="1" customFormat="1" ht="16.5" customHeight="1">
      <c r="A41" s="9" t="s">
        <v>441</v>
      </c>
      <c r="B41" s="10" t="s">
        <v>442</v>
      </c>
      <c r="C41" s="11" t="s">
        <v>160</v>
      </c>
      <c r="D41" s="11" t="s">
        <v>101</v>
      </c>
      <c r="E41" s="12" t="s">
        <v>161</v>
      </c>
      <c r="F41" s="12" t="s">
        <v>162</v>
      </c>
      <c r="G41" s="13" t="s">
        <v>488</v>
      </c>
    </row>
    <row r="42" spans="1:7" s="1" customFormat="1" ht="16.5" customHeight="1">
      <c r="A42" s="9" t="s">
        <v>163</v>
      </c>
      <c r="B42" s="10" t="s">
        <v>164</v>
      </c>
      <c r="C42" s="11" t="s">
        <v>160</v>
      </c>
      <c r="D42" s="11" t="s">
        <v>101</v>
      </c>
      <c r="E42" s="12" t="s">
        <v>161</v>
      </c>
      <c r="F42" s="12" t="s">
        <v>162</v>
      </c>
      <c r="G42" s="13"/>
    </row>
    <row r="43" spans="1:7" s="1" customFormat="1" ht="16.5" customHeight="1">
      <c r="A43" s="9" t="s">
        <v>165</v>
      </c>
      <c r="B43" s="10" t="s">
        <v>166</v>
      </c>
      <c r="C43" s="11" t="s">
        <v>160</v>
      </c>
      <c r="D43" s="11" t="s">
        <v>101</v>
      </c>
      <c r="E43" s="12" t="s">
        <v>161</v>
      </c>
      <c r="F43" s="12" t="s">
        <v>162</v>
      </c>
      <c r="G43" s="13"/>
    </row>
    <row r="44" spans="1:7" s="1" customFormat="1" ht="16.5" customHeight="1">
      <c r="A44" s="9" t="s">
        <v>167</v>
      </c>
      <c r="B44" s="10" t="s">
        <v>168</v>
      </c>
      <c r="C44" s="11" t="s">
        <v>160</v>
      </c>
      <c r="D44" s="11" t="s">
        <v>101</v>
      </c>
      <c r="E44" s="12" t="s">
        <v>161</v>
      </c>
      <c r="F44" s="12" t="s">
        <v>169</v>
      </c>
      <c r="G44" s="13"/>
    </row>
    <row r="45" spans="1:7" s="1" customFormat="1" ht="16.5" customHeight="1">
      <c r="A45" s="9" t="s">
        <v>362</v>
      </c>
      <c r="B45" s="10" t="s">
        <v>443</v>
      </c>
      <c r="C45" s="11" t="s">
        <v>361</v>
      </c>
      <c r="D45" s="11" t="s">
        <v>101</v>
      </c>
      <c r="E45" s="12" t="s">
        <v>150</v>
      </c>
      <c r="F45" s="12" t="s">
        <v>173</v>
      </c>
      <c r="G45" s="13" t="s">
        <v>490</v>
      </c>
    </row>
    <row r="46" spans="1:7" s="1" customFormat="1" ht="16.5" customHeight="1">
      <c r="A46" s="9" t="s">
        <v>170</v>
      </c>
      <c r="B46" s="10" t="s">
        <v>171</v>
      </c>
      <c r="C46" s="11" t="s">
        <v>172</v>
      </c>
      <c r="D46" s="11" t="s">
        <v>101</v>
      </c>
      <c r="E46" s="12" t="s">
        <v>150</v>
      </c>
      <c r="F46" s="12" t="s">
        <v>173</v>
      </c>
      <c r="G46" s="13"/>
    </row>
    <row r="47" spans="1:7" s="1" customFormat="1" ht="16.5" customHeight="1">
      <c r="A47" s="9" t="s">
        <v>174</v>
      </c>
      <c r="B47" s="10" t="s">
        <v>175</v>
      </c>
      <c r="C47" s="11" t="s">
        <v>172</v>
      </c>
      <c r="D47" s="11" t="s">
        <v>101</v>
      </c>
      <c r="E47" s="12" t="s">
        <v>150</v>
      </c>
      <c r="F47" s="12" t="s">
        <v>176</v>
      </c>
      <c r="G47" s="13"/>
    </row>
    <row r="48" spans="1:7" s="1" customFormat="1" ht="16.5" customHeight="1">
      <c r="A48" s="9" t="s">
        <v>177</v>
      </c>
      <c r="B48" s="10" t="s">
        <v>178</v>
      </c>
      <c r="C48" s="11" t="s">
        <v>172</v>
      </c>
      <c r="D48" s="11" t="s">
        <v>101</v>
      </c>
      <c r="E48" s="12" t="s">
        <v>150</v>
      </c>
      <c r="F48" s="12" t="s">
        <v>179</v>
      </c>
      <c r="G48" s="13"/>
    </row>
    <row r="49" spans="1:7" s="1" customFormat="1" ht="16.5" customHeight="1">
      <c r="A49" s="9" t="s">
        <v>180</v>
      </c>
      <c r="B49" s="10" t="s">
        <v>181</v>
      </c>
      <c r="C49" s="11" t="s">
        <v>172</v>
      </c>
      <c r="D49" s="11" t="s">
        <v>101</v>
      </c>
      <c r="E49" s="12" t="s">
        <v>150</v>
      </c>
      <c r="F49" s="12" t="s">
        <v>179</v>
      </c>
      <c r="G49" s="13"/>
    </row>
    <row r="50" spans="1:7" s="1" customFormat="1" ht="16.5" customHeight="1">
      <c r="A50" s="9" t="s">
        <v>182</v>
      </c>
      <c r="B50" s="10" t="s">
        <v>183</v>
      </c>
      <c r="C50" s="11" t="s">
        <v>172</v>
      </c>
      <c r="D50" s="11" t="s">
        <v>101</v>
      </c>
      <c r="E50" s="12" t="s">
        <v>150</v>
      </c>
      <c r="F50" s="12" t="s">
        <v>173</v>
      </c>
      <c r="G50" s="13"/>
    </row>
    <row r="51" spans="1:7" s="1" customFormat="1" ht="16.5" customHeight="1">
      <c r="A51" s="9" t="s">
        <v>184</v>
      </c>
      <c r="B51" s="10" t="s">
        <v>185</v>
      </c>
      <c r="C51" s="11" t="s">
        <v>186</v>
      </c>
      <c r="D51" s="11" t="s">
        <v>101</v>
      </c>
      <c r="E51" s="12" t="s">
        <v>150</v>
      </c>
      <c r="F51" s="12" t="s">
        <v>187</v>
      </c>
      <c r="G51" s="13"/>
    </row>
    <row r="52" spans="1:7" s="1" customFormat="1" ht="16.5" customHeight="1">
      <c r="A52" s="9" t="s">
        <v>188</v>
      </c>
      <c r="B52" s="10" t="s">
        <v>189</v>
      </c>
      <c r="C52" s="11" t="s">
        <v>186</v>
      </c>
      <c r="D52" s="11" t="s">
        <v>101</v>
      </c>
      <c r="E52" s="12" t="s">
        <v>150</v>
      </c>
      <c r="F52" s="12" t="s">
        <v>179</v>
      </c>
      <c r="G52" s="13"/>
    </row>
    <row r="53" spans="1:7" s="1" customFormat="1" ht="16.5" customHeight="1">
      <c r="A53" s="9" t="s">
        <v>190</v>
      </c>
      <c r="B53" s="10" t="s">
        <v>191</v>
      </c>
      <c r="C53" s="11" t="s">
        <v>186</v>
      </c>
      <c r="D53" s="11" t="s">
        <v>101</v>
      </c>
      <c r="E53" s="12" t="s">
        <v>150</v>
      </c>
      <c r="F53" s="12" t="s">
        <v>179</v>
      </c>
      <c r="G53" s="13"/>
    </row>
    <row r="54" spans="1:7" s="1" customFormat="1" ht="16.5" customHeight="1">
      <c r="A54" s="9" t="s">
        <v>192</v>
      </c>
      <c r="B54" s="10" t="s">
        <v>193</v>
      </c>
      <c r="C54" s="11" t="s">
        <v>186</v>
      </c>
      <c r="D54" s="11" t="s">
        <v>101</v>
      </c>
      <c r="E54" s="12" t="s">
        <v>150</v>
      </c>
      <c r="F54" s="12" t="s">
        <v>179</v>
      </c>
      <c r="G54" s="13"/>
    </row>
    <row r="55" spans="1:7" s="1" customFormat="1" ht="16.5" customHeight="1">
      <c r="A55" s="9" t="s">
        <v>194</v>
      </c>
      <c r="B55" s="10" t="s">
        <v>195</v>
      </c>
      <c r="C55" s="11" t="s">
        <v>186</v>
      </c>
      <c r="D55" s="11" t="s">
        <v>101</v>
      </c>
      <c r="E55" s="12" t="s">
        <v>150</v>
      </c>
      <c r="F55" s="12" t="s">
        <v>187</v>
      </c>
      <c r="G55" s="13"/>
    </row>
    <row r="56" spans="1:7" s="1" customFormat="1" ht="16.5" customHeight="1">
      <c r="A56" s="9" t="s">
        <v>196</v>
      </c>
      <c r="B56" s="10" t="s">
        <v>197</v>
      </c>
      <c r="C56" s="11" t="s">
        <v>186</v>
      </c>
      <c r="D56" s="11" t="s">
        <v>101</v>
      </c>
      <c r="E56" s="12" t="s">
        <v>150</v>
      </c>
      <c r="F56" s="12" t="s">
        <v>179</v>
      </c>
      <c r="G56" s="13"/>
    </row>
    <row r="57" spans="1:7" s="1" customFormat="1" ht="16.5" customHeight="1">
      <c r="A57" s="9" t="s">
        <v>198</v>
      </c>
      <c r="B57" s="10" t="s">
        <v>199</v>
      </c>
      <c r="C57" s="11" t="s">
        <v>186</v>
      </c>
      <c r="D57" s="11" t="s">
        <v>101</v>
      </c>
      <c r="E57" s="12" t="s">
        <v>150</v>
      </c>
      <c r="F57" s="12" t="s">
        <v>179</v>
      </c>
      <c r="G57" s="13"/>
    </row>
    <row r="58" spans="1:7" s="1" customFormat="1" ht="16.5" customHeight="1">
      <c r="A58" s="9" t="s">
        <v>200</v>
      </c>
      <c r="B58" s="10" t="s">
        <v>201</v>
      </c>
      <c r="C58" s="11" t="s">
        <v>202</v>
      </c>
      <c r="D58" s="11" t="s">
        <v>101</v>
      </c>
      <c r="E58" s="12" t="s">
        <v>150</v>
      </c>
      <c r="F58" s="12" t="s">
        <v>203</v>
      </c>
      <c r="G58" s="13" t="s">
        <v>488</v>
      </c>
    </row>
    <row r="59" spans="1:7" s="1" customFormat="1" ht="16.5" customHeight="1">
      <c r="A59" s="9" t="s">
        <v>204</v>
      </c>
      <c r="B59" s="10" t="s">
        <v>205</v>
      </c>
      <c r="C59" s="11" t="s">
        <v>202</v>
      </c>
      <c r="D59" s="11" t="s">
        <v>101</v>
      </c>
      <c r="E59" s="12" t="s">
        <v>150</v>
      </c>
      <c r="F59" s="12" t="s">
        <v>203</v>
      </c>
      <c r="G59" s="13" t="s">
        <v>488</v>
      </c>
    </row>
    <row r="60" spans="1:7" s="1" customFormat="1" ht="16.5" customHeight="1">
      <c r="A60" s="9" t="s">
        <v>206</v>
      </c>
      <c r="B60" s="10" t="s">
        <v>207</v>
      </c>
      <c r="C60" s="11" t="s">
        <v>202</v>
      </c>
      <c r="D60" s="11" t="s">
        <v>101</v>
      </c>
      <c r="E60" s="12" t="s">
        <v>150</v>
      </c>
      <c r="F60" s="12" t="s">
        <v>162</v>
      </c>
      <c r="G60" s="13"/>
    </row>
    <row r="61" spans="1:7" s="1" customFormat="1" ht="16.5" customHeight="1">
      <c r="A61" s="9" t="s">
        <v>208</v>
      </c>
      <c r="B61" s="10" t="s">
        <v>209</v>
      </c>
      <c r="C61" s="11" t="s">
        <v>202</v>
      </c>
      <c r="D61" s="11" t="s">
        <v>101</v>
      </c>
      <c r="E61" s="12" t="s">
        <v>150</v>
      </c>
      <c r="F61" s="12" t="s">
        <v>162</v>
      </c>
      <c r="G61" s="13" t="s">
        <v>488</v>
      </c>
    </row>
    <row r="62" spans="1:7" s="1" customFormat="1" ht="16.5" customHeight="1">
      <c r="A62" s="9" t="s">
        <v>210</v>
      </c>
      <c r="B62" s="10" t="s">
        <v>211</v>
      </c>
      <c r="C62" s="11" t="s">
        <v>212</v>
      </c>
      <c r="D62" s="11" t="s">
        <v>101</v>
      </c>
      <c r="E62" s="12" t="s">
        <v>150</v>
      </c>
      <c r="F62" s="12" t="s">
        <v>151</v>
      </c>
      <c r="G62" s="13" t="s">
        <v>491</v>
      </c>
    </row>
    <row r="63" spans="1:7" s="1" customFormat="1" ht="16.5" customHeight="1">
      <c r="A63" s="9" t="s">
        <v>444</v>
      </c>
      <c r="B63" s="10" t="s">
        <v>445</v>
      </c>
      <c r="C63" s="11" t="s">
        <v>212</v>
      </c>
      <c r="D63" s="11" t="s">
        <v>101</v>
      </c>
      <c r="E63" s="12" t="s">
        <v>150</v>
      </c>
      <c r="F63" s="12" t="s">
        <v>151</v>
      </c>
      <c r="G63" s="13" t="s">
        <v>492</v>
      </c>
    </row>
    <row r="64" spans="1:7" s="1" customFormat="1" ht="16.5" customHeight="1">
      <c r="A64" s="9" t="s">
        <v>213</v>
      </c>
      <c r="B64" s="10" t="s">
        <v>214</v>
      </c>
      <c r="C64" s="11" t="s">
        <v>212</v>
      </c>
      <c r="D64" s="11" t="s">
        <v>101</v>
      </c>
      <c r="E64" s="12" t="s">
        <v>150</v>
      </c>
      <c r="F64" s="12" t="s">
        <v>151</v>
      </c>
      <c r="G64" s="13" t="s">
        <v>491</v>
      </c>
    </row>
    <row r="65" spans="1:7" s="1" customFormat="1" ht="16.5" customHeight="1">
      <c r="A65" s="9" t="s">
        <v>215</v>
      </c>
      <c r="B65" s="10" t="s">
        <v>216</v>
      </c>
      <c r="C65" s="11" t="s">
        <v>212</v>
      </c>
      <c r="D65" s="11" t="s">
        <v>101</v>
      </c>
      <c r="E65" s="12" t="s">
        <v>150</v>
      </c>
      <c r="F65" s="12" t="s">
        <v>151</v>
      </c>
      <c r="G65" s="13" t="s">
        <v>491</v>
      </c>
    </row>
    <row r="66" spans="1:7" s="1" customFormat="1" ht="16.5" customHeight="1">
      <c r="A66" s="9" t="s">
        <v>217</v>
      </c>
      <c r="B66" s="10" t="s">
        <v>218</v>
      </c>
      <c r="C66" s="11" t="s">
        <v>212</v>
      </c>
      <c r="D66" s="11" t="s">
        <v>101</v>
      </c>
      <c r="E66" s="12" t="s">
        <v>150</v>
      </c>
      <c r="F66" s="12" t="s">
        <v>151</v>
      </c>
      <c r="G66" s="13"/>
    </row>
    <row r="67" spans="1:7" s="1" customFormat="1" ht="16.5" customHeight="1">
      <c r="A67" s="9" t="s">
        <v>446</v>
      </c>
      <c r="B67" s="10" t="s">
        <v>447</v>
      </c>
      <c r="C67" s="11" t="s">
        <v>221</v>
      </c>
      <c r="D67" s="11" t="s">
        <v>101</v>
      </c>
      <c r="E67" s="12" t="s">
        <v>161</v>
      </c>
      <c r="F67" s="12" t="s">
        <v>162</v>
      </c>
      <c r="G67" s="13" t="s">
        <v>488</v>
      </c>
    </row>
    <row r="68" spans="1:7" s="1" customFormat="1" ht="16.5" customHeight="1">
      <c r="A68" s="9" t="s">
        <v>219</v>
      </c>
      <c r="B68" s="10" t="s">
        <v>220</v>
      </c>
      <c r="C68" s="11" t="s">
        <v>221</v>
      </c>
      <c r="D68" s="11" t="s">
        <v>101</v>
      </c>
      <c r="E68" s="12" t="s">
        <v>161</v>
      </c>
      <c r="F68" s="12" t="s">
        <v>162</v>
      </c>
      <c r="G68" s="13"/>
    </row>
    <row r="69" spans="1:7" s="1" customFormat="1" ht="16.5" customHeight="1">
      <c r="A69" s="9" t="s">
        <v>222</v>
      </c>
      <c r="B69" s="10" t="s">
        <v>223</v>
      </c>
      <c r="C69" s="11" t="s">
        <v>221</v>
      </c>
      <c r="D69" s="11" t="s">
        <v>101</v>
      </c>
      <c r="E69" s="12" t="s">
        <v>161</v>
      </c>
      <c r="F69" s="12" t="s">
        <v>169</v>
      </c>
      <c r="G69" s="13"/>
    </row>
    <row r="70" spans="1:7" s="1" customFormat="1" ht="16.5" customHeight="1">
      <c r="A70" s="9" t="s">
        <v>224</v>
      </c>
      <c r="B70" s="10" t="s">
        <v>225</v>
      </c>
      <c r="C70" s="11" t="s">
        <v>221</v>
      </c>
      <c r="D70" s="11" t="s">
        <v>101</v>
      </c>
      <c r="E70" s="12" t="s">
        <v>161</v>
      </c>
      <c r="F70" s="12" t="s">
        <v>169</v>
      </c>
      <c r="G70" s="13"/>
    </row>
    <row r="71" spans="1:7" s="1" customFormat="1" ht="16.5" customHeight="1">
      <c r="A71" s="9" t="s">
        <v>226</v>
      </c>
      <c r="B71" s="10" t="s">
        <v>227</v>
      </c>
      <c r="C71" s="11" t="s">
        <v>221</v>
      </c>
      <c r="D71" s="11" t="s">
        <v>101</v>
      </c>
      <c r="E71" s="12" t="s">
        <v>161</v>
      </c>
      <c r="F71" s="12" t="s">
        <v>169</v>
      </c>
      <c r="G71" s="13"/>
    </row>
    <row r="72" spans="1:7" s="1" customFormat="1" ht="16.5" customHeight="1">
      <c r="A72" s="9" t="s">
        <v>448</v>
      </c>
      <c r="B72" s="10" t="s">
        <v>449</v>
      </c>
      <c r="C72" s="11" t="s">
        <v>230</v>
      </c>
      <c r="D72" s="11" t="s">
        <v>101</v>
      </c>
      <c r="E72" s="12" t="s">
        <v>161</v>
      </c>
      <c r="F72" s="12" t="s">
        <v>162</v>
      </c>
      <c r="G72" s="13" t="s">
        <v>488</v>
      </c>
    </row>
    <row r="73" spans="1:7" s="1" customFormat="1" ht="21" customHeight="1">
      <c r="A73" s="14" t="s">
        <v>9</v>
      </c>
      <c r="B73" s="15" t="s">
        <v>0</v>
      </c>
      <c r="C73" s="16" t="s">
        <v>1</v>
      </c>
      <c r="D73" s="16" t="s">
        <v>146</v>
      </c>
      <c r="E73" s="8" t="s">
        <v>2</v>
      </c>
      <c r="F73" s="8" t="s">
        <v>7</v>
      </c>
      <c r="G73" s="17" t="s">
        <v>33</v>
      </c>
    </row>
    <row r="74" spans="1:7" s="1" customFormat="1" ht="16.5" customHeight="1">
      <c r="A74" s="9" t="s">
        <v>228</v>
      </c>
      <c r="B74" s="10" t="s">
        <v>229</v>
      </c>
      <c r="C74" s="11" t="s">
        <v>230</v>
      </c>
      <c r="D74" s="11" t="s">
        <v>101</v>
      </c>
      <c r="E74" s="12" t="s">
        <v>161</v>
      </c>
      <c r="F74" s="12" t="s">
        <v>162</v>
      </c>
      <c r="G74" s="13"/>
    </row>
    <row r="75" spans="1:7" s="1" customFormat="1" ht="16.5" customHeight="1">
      <c r="A75" s="9" t="s">
        <v>231</v>
      </c>
      <c r="B75" s="10" t="s">
        <v>232</v>
      </c>
      <c r="C75" s="11" t="s">
        <v>230</v>
      </c>
      <c r="D75" s="11" t="s">
        <v>101</v>
      </c>
      <c r="E75" s="12" t="s">
        <v>161</v>
      </c>
      <c r="F75" s="12" t="s">
        <v>169</v>
      </c>
      <c r="G75" s="13"/>
    </row>
    <row r="76" spans="1:7" s="1" customFormat="1" ht="16.5" customHeight="1">
      <c r="A76" s="9" t="s">
        <v>233</v>
      </c>
      <c r="B76" s="10" t="s">
        <v>234</v>
      </c>
      <c r="C76" s="11" t="s">
        <v>230</v>
      </c>
      <c r="D76" s="11" t="s">
        <v>101</v>
      </c>
      <c r="E76" s="12" t="s">
        <v>161</v>
      </c>
      <c r="F76" s="12" t="s">
        <v>162</v>
      </c>
      <c r="G76" s="13"/>
    </row>
    <row r="77" spans="1:7" s="1" customFormat="1" ht="16.5" customHeight="1">
      <c r="A77" s="9" t="s">
        <v>235</v>
      </c>
      <c r="B77" s="10" t="s">
        <v>236</v>
      </c>
      <c r="C77" s="11" t="s">
        <v>237</v>
      </c>
      <c r="D77" s="11" t="s">
        <v>101</v>
      </c>
      <c r="E77" s="12" t="s">
        <v>161</v>
      </c>
      <c r="F77" s="12" t="s">
        <v>169</v>
      </c>
      <c r="G77" s="13"/>
    </row>
    <row r="78" spans="1:7" s="1" customFormat="1" ht="16.5" customHeight="1">
      <c r="A78" s="9" t="s">
        <v>238</v>
      </c>
      <c r="B78" s="10" t="s">
        <v>239</v>
      </c>
      <c r="C78" s="11" t="s">
        <v>237</v>
      </c>
      <c r="D78" s="11" t="s">
        <v>101</v>
      </c>
      <c r="E78" s="12" t="s">
        <v>161</v>
      </c>
      <c r="F78" s="12" t="s">
        <v>169</v>
      </c>
      <c r="G78" s="13"/>
    </row>
    <row r="79" spans="1:7" s="1" customFormat="1" ht="16.5" customHeight="1">
      <c r="A79" s="9" t="s">
        <v>240</v>
      </c>
      <c r="B79" s="10" t="s">
        <v>241</v>
      </c>
      <c r="C79" s="11" t="s">
        <v>237</v>
      </c>
      <c r="D79" s="11" t="s">
        <v>101</v>
      </c>
      <c r="E79" s="12" t="s">
        <v>161</v>
      </c>
      <c r="F79" s="12" t="s">
        <v>169</v>
      </c>
      <c r="G79" s="13"/>
    </row>
    <row r="80" spans="1:7" s="1" customFormat="1" ht="16.5" customHeight="1">
      <c r="A80" s="9" t="s">
        <v>242</v>
      </c>
      <c r="B80" s="10" t="s">
        <v>243</v>
      </c>
      <c r="C80" s="11" t="s">
        <v>237</v>
      </c>
      <c r="D80" s="11" t="s">
        <v>101</v>
      </c>
      <c r="E80" s="12" t="s">
        <v>161</v>
      </c>
      <c r="F80" s="12" t="s">
        <v>169</v>
      </c>
      <c r="G80" s="13"/>
    </row>
    <row r="81" spans="1:7" s="1" customFormat="1" ht="16.5" customHeight="1">
      <c r="A81" s="9" t="s">
        <v>244</v>
      </c>
      <c r="B81" s="10" t="s">
        <v>245</v>
      </c>
      <c r="C81" s="11" t="s">
        <v>246</v>
      </c>
      <c r="D81" s="11" t="s">
        <v>101</v>
      </c>
      <c r="E81" s="12" t="s">
        <v>161</v>
      </c>
      <c r="F81" s="12" t="s">
        <v>169</v>
      </c>
      <c r="G81" s="13"/>
    </row>
    <row r="82" spans="1:7" s="1" customFormat="1" ht="16.5" customHeight="1">
      <c r="A82" s="9" t="s">
        <v>247</v>
      </c>
      <c r="B82" s="10" t="s">
        <v>248</v>
      </c>
      <c r="C82" s="11" t="s">
        <v>246</v>
      </c>
      <c r="D82" s="11" t="s">
        <v>101</v>
      </c>
      <c r="E82" s="12" t="s">
        <v>161</v>
      </c>
      <c r="F82" s="12" t="s">
        <v>169</v>
      </c>
      <c r="G82" s="13"/>
    </row>
    <row r="83" spans="1:7" s="1" customFormat="1" ht="16.5" customHeight="1">
      <c r="A83" s="9" t="s">
        <v>249</v>
      </c>
      <c r="B83" s="10" t="s">
        <v>250</v>
      </c>
      <c r="C83" s="11" t="s">
        <v>246</v>
      </c>
      <c r="D83" s="11" t="s">
        <v>101</v>
      </c>
      <c r="E83" s="12" t="s">
        <v>161</v>
      </c>
      <c r="F83" s="12" t="s">
        <v>251</v>
      </c>
      <c r="G83" s="13"/>
    </row>
    <row r="84" spans="1:7" s="1" customFormat="1" ht="16.5" customHeight="1">
      <c r="A84" s="9" t="s">
        <v>252</v>
      </c>
      <c r="B84" s="10" t="s">
        <v>253</v>
      </c>
      <c r="C84" s="11" t="s">
        <v>246</v>
      </c>
      <c r="D84" s="11" t="s">
        <v>101</v>
      </c>
      <c r="E84" s="12" t="s">
        <v>161</v>
      </c>
      <c r="F84" s="12" t="s">
        <v>169</v>
      </c>
      <c r="G84" s="13"/>
    </row>
    <row r="85" spans="1:7" s="1" customFormat="1" ht="16.5" customHeight="1">
      <c r="A85" s="9" t="s">
        <v>254</v>
      </c>
      <c r="B85" s="10" t="s">
        <v>255</v>
      </c>
      <c r="C85" s="11" t="s">
        <v>246</v>
      </c>
      <c r="D85" s="11" t="s">
        <v>101</v>
      </c>
      <c r="E85" s="12" t="s">
        <v>161</v>
      </c>
      <c r="F85" s="12" t="s">
        <v>169</v>
      </c>
      <c r="G85" s="13"/>
    </row>
    <row r="86" spans="1:7" s="1" customFormat="1" ht="16.5" customHeight="1">
      <c r="A86" s="9" t="s">
        <v>256</v>
      </c>
      <c r="B86" s="10" t="s">
        <v>257</v>
      </c>
      <c r="C86" s="11" t="s">
        <v>258</v>
      </c>
      <c r="D86" s="11" t="s">
        <v>101</v>
      </c>
      <c r="E86" s="12" t="s">
        <v>161</v>
      </c>
      <c r="F86" s="12" t="s">
        <v>169</v>
      </c>
      <c r="G86" s="13"/>
    </row>
    <row r="87" spans="1:7" s="1" customFormat="1" ht="16.5" customHeight="1">
      <c r="A87" s="9" t="s">
        <v>259</v>
      </c>
      <c r="B87" s="10" t="s">
        <v>260</v>
      </c>
      <c r="C87" s="11" t="s">
        <v>258</v>
      </c>
      <c r="D87" s="11" t="s">
        <v>101</v>
      </c>
      <c r="E87" s="12" t="s">
        <v>161</v>
      </c>
      <c r="F87" s="12" t="s">
        <v>169</v>
      </c>
      <c r="G87" s="13"/>
    </row>
    <row r="88" spans="1:7" s="1" customFormat="1" ht="16.5" customHeight="1">
      <c r="A88" s="9" t="s">
        <v>261</v>
      </c>
      <c r="B88" s="10" t="s">
        <v>262</v>
      </c>
      <c r="C88" s="11" t="s">
        <v>258</v>
      </c>
      <c r="D88" s="11" t="s">
        <v>101</v>
      </c>
      <c r="E88" s="12" t="s">
        <v>161</v>
      </c>
      <c r="F88" s="12" t="s">
        <v>169</v>
      </c>
      <c r="G88" s="13"/>
    </row>
    <row r="89" spans="1:7" s="1" customFormat="1" ht="16.5" customHeight="1">
      <c r="A89" s="9" t="s">
        <v>263</v>
      </c>
      <c r="B89" s="10" t="s">
        <v>264</v>
      </c>
      <c r="C89" s="11" t="s">
        <v>265</v>
      </c>
      <c r="D89" s="11" t="s">
        <v>101</v>
      </c>
      <c r="E89" s="12" t="s">
        <v>161</v>
      </c>
      <c r="F89" s="12" t="s">
        <v>169</v>
      </c>
      <c r="G89" s="13"/>
    </row>
    <row r="90" spans="1:7" s="1" customFormat="1" ht="16.5" customHeight="1">
      <c r="A90" s="9" t="s">
        <v>266</v>
      </c>
      <c r="B90" s="10" t="s">
        <v>267</v>
      </c>
      <c r="C90" s="11" t="s">
        <v>265</v>
      </c>
      <c r="D90" s="11" t="s">
        <v>102</v>
      </c>
      <c r="E90" s="12" t="s">
        <v>161</v>
      </c>
      <c r="F90" s="12" t="s">
        <v>169</v>
      </c>
      <c r="G90" s="13"/>
    </row>
    <row r="91" spans="1:7" s="1" customFormat="1" ht="16.5" customHeight="1">
      <c r="A91" s="9" t="s">
        <v>268</v>
      </c>
      <c r="B91" s="10" t="s">
        <v>269</v>
      </c>
      <c r="C91" s="11" t="s">
        <v>265</v>
      </c>
      <c r="D91" s="11" t="s">
        <v>101</v>
      </c>
      <c r="E91" s="12" t="s">
        <v>161</v>
      </c>
      <c r="F91" s="12" t="s">
        <v>169</v>
      </c>
      <c r="G91" s="13"/>
    </row>
    <row r="92" spans="1:7" s="1" customFormat="1" ht="16.5" customHeight="1">
      <c r="A92" s="9" t="s">
        <v>270</v>
      </c>
      <c r="B92" s="10" t="s">
        <v>271</v>
      </c>
      <c r="C92" s="11" t="s">
        <v>265</v>
      </c>
      <c r="D92" s="11" t="s">
        <v>101</v>
      </c>
      <c r="E92" s="12" t="s">
        <v>161</v>
      </c>
      <c r="F92" s="12" t="s">
        <v>169</v>
      </c>
      <c r="G92" s="13"/>
    </row>
    <row r="93" spans="1:7" s="1" customFormat="1" ht="16.5" customHeight="1">
      <c r="A93" s="9" t="s">
        <v>272</v>
      </c>
      <c r="B93" s="10" t="s">
        <v>273</v>
      </c>
      <c r="C93" s="11" t="s">
        <v>265</v>
      </c>
      <c r="D93" s="11" t="s">
        <v>101</v>
      </c>
      <c r="E93" s="12" t="s">
        <v>161</v>
      </c>
      <c r="F93" s="12" t="s">
        <v>169</v>
      </c>
      <c r="G93" s="13"/>
    </row>
    <row r="94" spans="1:7" s="1" customFormat="1" ht="16.5" customHeight="1">
      <c r="A94" s="9" t="s">
        <v>274</v>
      </c>
      <c r="B94" s="10" t="s">
        <v>275</v>
      </c>
      <c r="C94" s="11" t="s">
        <v>276</v>
      </c>
      <c r="D94" s="11" t="s">
        <v>101</v>
      </c>
      <c r="E94" s="12" t="s">
        <v>161</v>
      </c>
      <c r="F94" s="12" t="s">
        <v>169</v>
      </c>
      <c r="G94" s="13"/>
    </row>
    <row r="95" spans="1:7" s="1" customFormat="1" ht="16.5" customHeight="1">
      <c r="A95" s="9" t="s">
        <v>277</v>
      </c>
      <c r="B95" s="10" t="s">
        <v>278</v>
      </c>
      <c r="C95" s="11" t="s">
        <v>276</v>
      </c>
      <c r="D95" s="11" t="s">
        <v>101</v>
      </c>
      <c r="E95" s="12" t="s">
        <v>161</v>
      </c>
      <c r="F95" s="12" t="s">
        <v>179</v>
      </c>
      <c r="G95" s="13"/>
    </row>
    <row r="96" spans="1:7" s="1" customFormat="1" ht="16.5" customHeight="1">
      <c r="A96" s="9" t="s">
        <v>279</v>
      </c>
      <c r="B96" s="10" t="s">
        <v>280</v>
      </c>
      <c r="C96" s="11" t="s">
        <v>276</v>
      </c>
      <c r="D96" s="11" t="s">
        <v>102</v>
      </c>
      <c r="E96" s="12" t="s">
        <v>161</v>
      </c>
      <c r="F96" s="12" t="s">
        <v>169</v>
      </c>
      <c r="G96" s="13"/>
    </row>
    <row r="97" spans="1:7" s="1" customFormat="1" ht="16.5" customHeight="1">
      <c r="A97" s="9" t="s">
        <v>281</v>
      </c>
      <c r="B97" s="10" t="s">
        <v>282</v>
      </c>
      <c r="C97" s="11" t="s">
        <v>283</v>
      </c>
      <c r="D97" s="11" t="s">
        <v>101</v>
      </c>
      <c r="E97" s="12" t="s">
        <v>150</v>
      </c>
      <c r="F97" s="12" t="s">
        <v>169</v>
      </c>
      <c r="G97" s="13"/>
    </row>
    <row r="98" spans="1:7" s="1" customFormat="1" ht="16.5" customHeight="1">
      <c r="A98" s="9" t="s">
        <v>284</v>
      </c>
      <c r="B98" s="10" t="s">
        <v>285</v>
      </c>
      <c r="C98" s="11" t="s">
        <v>283</v>
      </c>
      <c r="D98" s="11" t="s">
        <v>101</v>
      </c>
      <c r="E98" s="12" t="s">
        <v>150</v>
      </c>
      <c r="F98" s="12" t="s">
        <v>169</v>
      </c>
      <c r="G98" s="13"/>
    </row>
    <row r="99" spans="1:7" s="1" customFormat="1" ht="16.5" customHeight="1">
      <c r="A99" s="9" t="s">
        <v>286</v>
      </c>
      <c r="B99" s="10" t="s">
        <v>287</v>
      </c>
      <c r="C99" s="11" t="s">
        <v>283</v>
      </c>
      <c r="D99" s="11" t="s">
        <v>101</v>
      </c>
      <c r="E99" s="12" t="s">
        <v>150</v>
      </c>
      <c r="F99" s="12" t="s">
        <v>169</v>
      </c>
      <c r="G99" s="13"/>
    </row>
    <row r="100" spans="1:7" s="1" customFormat="1" ht="16.5" customHeight="1">
      <c r="A100" s="9" t="s">
        <v>288</v>
      </c>
      <c r="B100" s="10" t="s">
        <v>289</v>
      </c>
      <c r="C100" s="11" t="s">
        <v>283</v>
      </c>
      <c r="D100" s="11" t="s">
        <v>101</v>
      </c>
      <c r="E100" s="12" t="s">
        <v>150</v>
      </c>
      <c r="F100" s="12" t="s">
        <v>290</v>
      </c>
      <c r="G100" s="13"/>
    </row>
    <row r="101" spans="1:7" s="1" customFormat="1" ht="16.5" customHeight="1">
      <c r="A101" s="9" t="s">
        <v>291</v>
      </c>
      <c r="B101" s="10" t="s">
        <v>292</v>
      </c>
      <c r="C101" s="11" t="s">
        <v>283</v>
      </c>
      <c r="D101" s="11" t="s">
        <v>101</v>
      </c>
      <c r="E101" s="12" t="s">
        <v>150</v>
      </c>
      <c r="F101" s="12" t="s">
        <v>169</v>
      </c>
      <c r="G101" s="13"/>
    </row>
    <row r="102" spans="1:7" s="1" customFormat="1" ht="16.5" customHeight="1">
      <c r="A102" s="9" t="s">
        <v>293</v>
      </c>
      <c r="B102" s="10" t="s">
        <v>294</v>
      </c>
      <c r="C102" s="11" t="s">
        <v>283</v>
      </c>
      <c r="D102" s="11" t="s">
        <v>101</v>
      </c>
      <c r="E102" s="12" t="s">
        <v>150</v>
      </c>
      <c r="F102" s="12" t="s">
        <v>151</v>
      </c>
      <c r="G102" s="13"/>
    </row>
    <row r="103" spans="1:7" s="1" customFormat="1" ht="16.5" customHeight="1">
      <c r="A103" s="9" t="s">
        <v>295</v>
      </c>
      <c r="B103" s="10" t="s">
        <v>296</v>
      </c>
      <c r="C103" s="11" t="s">
        <v>297</v>
      </c>
      <c r="D103" s="11" t="s">
        <v>102</v>
      </c>
      <c r="E103" s="12" t="s">
        <v>298</v>
      </c>
      <c r="F103" s="12" t="s">
        <v>299</v>
      </c>
      <c r="G103" s="13"/>
    </row>
    <row r="104" spans="1:7" s="1" customFormat="1" ht="16.5" customHeight="1">
      <c r="A104" s="9" t="s">
        <v>300</v>
      </c>
      <c r="B104" s="10" t="s">
        <v>301</v>
      </c>
      <c r="C104" s="11" t="s">
        <v>297</v>
      </c>
      <c r="D104" s="11" t="s">
        <v>101</v>
      </c>
      <c r="E104" s="12" t="s">
        <v>298</v>
      </c>
      <c r="F104" s="12" t="s">
        <v>162</v>
      </c>
      <c r="G104" s="13"/>
    </row>
    <row r="105" spans="1:7" s="1" customFormat="1" ht="16.5" customHeight="1">
      <c r="A105" s="9" t="s">
        <v>302</v>
      </c>
      <c r="B105" s="10" t="s">
        <v>303</v>
      </c>
      <c r="C105" s="11" t="s">
        <v>297</v>
      </c>
      <c r="D105" s="11" t="s">
        <v>102</v>
      </c>
      <c r="E105" s="12" t="s">
        <v>298</v>
      </c>
      <c r="F105" s="12" t="s">
        <v>299</v>
      </c>
      <c r="G105" s="13"/>
    </row>
    <row r="106" spans="1:7" s="1" customFormat="1" ht="16.5" customHeight="1">
      <c r="A106" s="9" t="s">
        <v>304</v>
      </c>
      <c r="B106" s="10" t="s">
        <v>305</v>
      </c>
      <c r="C106" s="11" t="s">
        <v>297</v>
      </c>
      <c r="D106" s="11" t="s">
        <v>102</v>
      </c>
      <c r="E106" s="12" t="s">
        <v>298</v>
      </c>
      <c r="F106" s="12" t="s">
        <v>299</v>
      </c>
      <c r="G106" s="13"/>
    </row>
    <row r="107" spans="1:7" s="1" customFormat="1" ht="16.5" customHeight="1">
      <c r="A107" s="9" t="s">
        <v>306</v>
      </c>
      <c r="B107" s="10" t="s">
        <v>307</v>
      </c>
      <c r="C107" s="11" t="s">
        <v>297</v>
      </c>
      <c r="D107" s="11" t="s">
        <v>101</v>
      </c>
      <c r="E107" s="12" t="s">
        <v>298</v>
      </c>
      <c r="F107" s="12" t="s">
        <v>162</v>
      </c>
      <c r="G107" s="13"/>
    </row>
    <row r="108" spans="1:7" s="1" customFormat="1" ht="16.5" customHeight="1">
      <c r="A108" s="9" t="s">
        <v>308</v>
      </c>
      <c r="B108" s="10" t="s">
        <v>309</v>
      </c>
      <c r="C108" s="11" t="s">
        <v>310</v>
      </c>
      <c r="D108" s="11" t="s">
        <v>102</v>
      </c>
      <c r="E108" s="12" t="s">
        <v>298</v>
      </c>
      <c r="F108" s="12" t="s">
        <v>299</v>
      </c>
      <c r="G108" s="13"/>
    </row>
    <row r="109" spans="1:7" s="1" customFormat="1" ht="16.5" customHeight="1">
      <c r="A109" s="9" t="s">
        <v>311</v>
      </c>
      <c r="B109" s="10" t="s">
        <v>312</v>
      </c>
      <c r="C109" s="11" t="s">
        <v>310</v>
      </c>
      <c r="D109" s="11" t="s">
        <v>101</v>
      </c>
      <c r="E109" s="12" t="s">
        <v>298</v>
      </c>
      <c r="F109" s="12" t="s">
        <v>162</v>
      </c>
      <c r="G109" s="13"/>
    </row>
    <row r="110" spans="1:7" s="1" customFormat="1" ht="16.5" customHeight="1">
      <c r="A110" s="9" t="s">
        <v>313</v>
      </c>
      <c r="B110" s="10" t="s">
        <v>314</v>
      </c>
      <c r="C110" s="11" t="s">
        <v>315</v>
      </c>
      <c r="D110" s="11" t="s">
        <v>101</v>
      </c>
      <c r="E110" s="12" t="s">
        <v>298</v>
      </c>
      <c r="F110" s="12" t="s">
        <v>162</v>
      </c>
      <c r="G110" s="13"/>
    </row>
    <row r="111" spans="1:7" s="1" customFormat="1" ht="16.5" customHeight="1">
      <c r="A111" s="9" t="s">
        <v>450</v>
      </c>
      <c r="B111" s="10" t="s">
        <v>451</v>
      </c>
      <c r="C111" s="11" t="s">
        <v>318</v>
      </c>
      <c r="D111" s="11" t="s">
        <v>101</v>
      </c>
      <c r="E111" s="12" t="s">
        <v>150</v>
      </c>
      <c r="F111" s="12" t="s">
        <v>203</v>
      </c>
      <c r="G111" s="13" t="s">
        <v>493</v>
      </c>
    </row>
    <row r="112" spans="1:7" s="1" customFormat="1" ht="16.5" customHeight="1">
      <c r="A112" s="9" t="s">
        <v>316</v>
      </c>
      <c r="B112" s="10" t="s">
        <v>317</v>
      </c>
      <c r="C112" s="11" t="s">
        <v>318</v>
      </c>
      <c r="D112" s="11" t="s">
        <v>101</v>
      </c>
      <c r="E112" s="12" t="s">
        <v>150</v>
      </c>
      <c r="F112" s="12" t="s">
        <v>203</v>
      </c>
      <c r="G112" s="13" t="s">
        <v>494</v>
      </c>
    </row>
    <row r="113" spans="1:7" s="1" customFormat="1" ht="16.5" customHeight="1">
      <c r="A113" s="9" t="s">
        <v>452</v>
      </c>
      <c r="B113" s="10" t="s">
        <v>453</v>
      </c>
      <c r="C113" s="11" t="s">
        <v>321</v>
      </c>
      <c r="D113" s="11" t="s">
        <v>101</v>
      </c>
      <c r="E113" s="12" t="s">
        <v>150</v>
      </c>
      <c r="F113" s="12" t="s">
        <v>290</v>
      </c>
      <c r="G113" s="13" t="s">
        <v>488</v>
      </c>
    </row>
    <row r="114" spans="1:7" s="1" customFormat="1" ht="16.5" customHeight="1">
      <c r="A114" s="9" t="s">
        <v>319</v>
      </c>
      <c r="B114" s="10" t="s">
        <v>320</v>
      </c>
      <c r="C114" s="11" t="s">
        <v>321</v>
      </c>
      <c r="D114" s="11" t="s">
        <v>101</v>
      </c>
      <c r="E114" s="12" t="s">
        <v>150</v>
      </c>
      <c r="F114" s="12" t="s">
        <v>290</v>
      </c>
      <c r="G114" s="13"/>
    </row>
    <row r="115" spans="1:7" s="1" customFormat="1" ht="16.5" customHeight="1">
      <c r="A115" s="9" t="s">
        <v>322</v>
      </c>
      <c r="B115" s="10" t="s">
        <v>323</v>
      </c>
      <c r="C115" s="11" t="s">
        <v>321</v>
      </c>
      <c r="D115" s="11" t="s">
        <v>101</v>
      </c>
      <c r="E115" s="12" t="s">
        <v>150</v>
      </c>
      <c r="F115" s="12" t="s">
        <v>290</v>
      </c>
      <c r="G115" s="13"/>
    </row>
    <row r="116" spans="1:7" s="1" customFormat="1" ht="21" customHeight="1">
      <c r="A116" s="14" t="s">
        <v>9</v>
      </c>
      <c r="B116" s="15" t="s">
        <v>0</v>
      </c>
      <c r="C116" s="16" t="s">
        <v>1</v>
      </c>
      <c r="D116" s="16" t="s">
        <v>146</v>
      </c>
      <c r="E116" s="8" t="s">
        <v>2</v>
      </c>
      <c r="F116" s="8" t="s">
        <v>7</v>
      </c>
      <c r="G116" s="17" t="s">
        <v>33</v>
      </c>
    </row>
    <row r="117" spans="1:7" s="1" customFormat="1" ht="15.95" customHeight="1">
      <c r="A117" s="9" t="s">
        <v>324</v>
      </c>
      <c r="B117" s="10" t="s">
        <v>325</v>
      </c>
      <c r="C117" s="11" t="s">
        <v>321</v>
      </c>
      <c r="D117" s="11" t="s">
        <v>101</v>
      </c>
      <c r="E117" s="12" t="s">
        <v>150</v>
      </c>
      <c r="F117" s="12" t="s">
        <v>290</v>
      </c>
      <c r="G117" s="13"/>
    </row>
    <row r="118" spans="1:7" s="1" customFormat="1" ht="15.95" customHeight="1">
      <c r="A118" s="9" t="s">
        <v>326</v>
      </c>
      <c r="B118" s="10" t="s">
        <v>327</v>
      </c>
      <c r="C118" s="11" t="s">
        <v>321</v>
      </c>
      <c r="D118" s="11" t="s">
        <v>101</v>
      </c>
      <c r="E118" s="12" t="s">
        <v>150</v>
      </c>
      <c r="F118" s="12" t="s">
        <v>290</v>
      </c>
      <c r="G118" s="13"/>
    </row>
    <row r="119" spans="1:7" s="1" customFormat="1" ht="15.95" customHeight="1">
      <c r="A119" s="9" t="s">
        <v>328</v>
      </c>
      <c r="B119" s="10" t="s">
        <v>329</v>
      </c>
      <c r="C119" s="11" t="s">
        <v>321</v>
      </c>
      <c r="D119" s="11" t="s">
        <v>101</v>
      </c>
      <c r="E119" s="12" t="s">
        <v>150</v>
      </c>
      <c r="F119" s="12" t="s">
        <v>290</v>
      </c>
      <c r="G119" s="13"/>
    </row>
    <row r="120" spans="1:7" s="1" customFormat="1" ht="15.95" customHeight="1">
      <c r="A120" s="9" t="s">
        <v>330</v>
      </c>
      <c r="B120" s="10" t="s">
        <v>331</v>
      </c>
      <c r="C120" s="11" t="s">
        <v>321</v>
      </c>
      <c r="D120" s="11" t="s">
        <v>101</v>
      </c>
      <c r="E120" s="12" t="s">
        <v>150</v>
      </c>
      <c r="F120" s="12" t="s">
        <v>169</v>
      </c>
      <c r="G120" s="13"/>
    </row>
    <row r="121" spans="1:7" s="1" customFormat="1" ht="15.95" customHeight="1">
      <c r="A121" s="9" t="s">
        <v>332</v>
      </c>
      <c r="B121" s="10" t="s">
        <v>333</v>
      </c>
      <c r="C121" s="11" t="s">
        <v>321</v>
      </c>
      <c r="D121" s="11" t="s">
        <v>101</v>
      </c>
      <c r="E121" s="12" t="s">
        <v>150</v>
      </c>
      <c r="F121" s="12" t="s">
        <v>151</v>
      </c>
      <c r="G121" s="13"/>
    </row>
    <row r="122" spans="1:7" s="1" customFormat="1" ht="15.95" customHeight="1">
      <c r="A122" s="9" t="s">
        <v>454</v>
      </c>
      <c r="B122" s="10" t="s">
        <v>455</v>
      </c>
      <c r="C122" s="11" t="s">
        <v>321</v>
      </c>
      <c r="D122" s="11" t="s">
        <v>101</v>
      </c>
      <c r="E122" s="12" t="s">
        <v>150</v>
      </c>
      <c r="F122" s="12" t="s">
        <v>151</v>
      </c>
      <c r="G122" s="13" t="s">
        <v>488</v>
      </c>
    </row>
    <row r="123" spans="1:7" s="1" customFormat="1" ht="15.95" customHeight="1">
      <c r="A123" s="9" t="s">
        <v>456</v>
      </c>
      <c r="B123" s="10" t="s">
        <v>457</v>
      </c>
      <c r="C123" s="11" t="s">
        <v>336</v>
      </c>
      <c r="D123" s="11" t="s">
        <v>101</v>
      </c>
      <c r="E123" s="12" t="s">
        <v>161</v>
      </c>
      <c r="F123" s="12" t="s">
        <v>162</v>
      </c>
      <c r="G123" s="13" t="s">
        <v>488</v>
      </c>
    </row>
    <row r="124" spans="1:7" s="1" customFormat="1" ht="15.95" customHeight="1">
      <c r="A124" s="9" t="s">
        <v>334</v>
      </c>
      <c r="B124" s="10" t="s">
        <v>335</v>
      </c>
      <c r="C124" s="11" t="s">
        <v>336</v>
      </c>
      <c r="D124" s="11" t="s">
        <v>101</v>
      </c>
      <c r="E124" s="12" t="s">
        <v>161</v>
      </c>
      <c r="F124" s="12" t="s">
        <v>162</v>
      </c>
      <c r="G124" s="13"/>
    </row>
    <row r="125" spans="1:7" s="1" customFormat="1" ht="15.95" customHeight="1">
      <c r="A125" s="9" t="s">
        <v>337</v>
      </c>
      <c r="B125" s="10" t="s">
        <v>338</v>
      </c>
      <c r="C125" s="11" t="s">
        <v>336</v>
      </c>
      <c r="D125" s="11" t="s">
        <v>101</v>
      </c>
      <c r="E125" s="12" t="s">
        <v>161</v>
      </c>
      <c r="F125" s="12" t="s">
        <v>162</v>
      </c>
      <c r="G125" s="13"/>
    </row>
    <row r="126" spans="1:7" s="1" customFormat="1" ht="15.95" customHeight="1">
      <c r="A126" s="9" t="s">
        <v>339</v>
      </c>
      <c r="B126" s="10" t="s">
        <v>340</v>
      </c>
      <c r="C126" s="11" t="s">
        <v>336</v>
      </c>
      <c r="D126" s="11" t="s">
        <v>101</v>
      </c>
      <c r="E126" s="12" t="s">
        <v>161</v>
      </c>
      <c r="F126" s="12" t="s">
        <v>162</v>
      </c>
      <c r="G126" s="13"/>
    </row>
    <row r="127" spans="1:7" s="1" customFormat="1" ht="15.95" customHeight="1">
      <c r="A127" s="9" t="s">
        <v>341</v>
      </c>
      <c r="B127" s="10" t="s">
        <v>342</v>
      </c>
      <c r="C127" s="11" t="s">
        <v>336</v>
      </c>
      <c r="D127" s="11" t="s">
        <v>101</v>
      </c>
      <c r="E127" s="12" t="s">
        <v>150</v>
      </c>
      <c r="F127" s="12" t="s">
        <v>179</v>
      </c>
      <c r="G127" s="13"/>
    </row>
    <row r="128" spans="1:7" s="1" customFormat="1" ht="15.95" customHeight="1">
      <c r="A128" s="9" t="s">
        <v>343</v>
      </c>
      <c r="B128" s="18" t="s">
        <v>344</v>
      </c>
      <c r="C128" s="11" t="s">
        <v>336</v>
      </c>
      <c r="D128" s="11" t="s">
        <v>101</v>
      </c>
      <c r="E128" s="12" t="s">
        <v>161</v>
      </c>
      <c r="F128" s="12" t="s">
        <v>162</v>
      </c>
      <c r="G128" s="13"/>
    </row>
    <row r="129" spans="1:7" s="1" customFormat="1" ht="15.95" customHeight="1">
      <c r="A129" s="9" t="s">
        <v>345</v>
      </c>
      <c r="B129" s="10" t="s">
        <v>346</v>
      </c>
      <c r="C129" s="11" t="s">
        <v>347</v>
      </c>
      <c r="D129" s="11" t="s">
        <v>101</v>
      </c>
      <c r="E129" s="12" t="s">
        <v>161</v>
      </c>
      <c r="F129" s="12" t="s">
        <v>169</v>
      </c>
      <c r="G129" s="13"/>
    </row>
    <row r="130" spans="1:7" s="1" customFormat="1" ht="15.95" customHeight="1">
      <c r="A130" s="9" t="s">
        <v>10</v>
      </c>
      <c r="B130" s="10" t="s">
        <v>348</v>
      </c>
      <c r="C130" s="11" t="s">
        <v>347</v>
      </c>
      <c r="D130" s="11" t="s">
        <v>101</v>
      </c>
      <c r="E130" s="12" t="s">
        <v>161</v>
      </c>
      <c r="F130" s="12" t="s">
        <v>169</v>
      </c>
      <c r="G130" s="13"/>
    </row>
    <row r="131" spans="1:7" s="1" customFormat="1" ht="15.95" customHeight="1">
      <c r="A131" s="9" t="s">
        <v>349</v>
      </c>
      <c r="B131" s="10" t="s">
        <v>350</v>
      </c>
      <c r="C131" s="11" t="s">
        <v>347</v>
      </c>
      <c r="D131" s="11" t="s">
        <v>101</v>
      </c>
      <c r="E131" s="12" t="s">
        <v>161</v>
      </c>
      <c r="F131" s="12" t="s">
        <v>169</v>
      </c>
      <c r="G131" s="13"/>
    </row>
    <row r="132" spans="1:7" s="1" customFormat="1" ht="15.95" customHeight="1">
      <c r="A132" s="9" t="s">
        <v>351</v>
      </c>
      <c r="B132" s="10" t="s">
        <v>352</v>
      </c>
      <c r="C132" s="11" t="s">
        <v>353</v>
      </c>
      <c r="D132" s="11" t="s">
        <v>101</v>
      </c>
      <c r="E132" s="12" t="s">
        <v>298</v>
      </c>
      <c r="F132" s="12" t="s">
        <v>162</v>
      </c>
      <c r="G132" s="13"/>
    </row>
    <row r="133" spans="1:7" s="1" customFormat="1" ht="15.95" customHeight="1">
      <c r="A133" s="9" t="s">
        <v>354</v>
      </c>
      <c r="B133" s="10" t="s">
        <v>355</v>
      </c>
      <c r="C133" s="11" t="s">
        <v>353</v>
      </c>
      <c r="D133" s="11" t="s">
        <v>101</v>
      </c>
      <c r="E133" s="12" t="s">
        <v>298</v>
      </c>
      <c r="F133" s="12" t="s">
        <v>162</v>
      </c>
      <c r="G133" s="13"/>
    </row>
    <row r="134" spans="1:7" s="1" customFormat="1" ht="15.95" customHeight="1">
      <c r="A134" s="9" t="s">
        <v>356</v>
      </c>
      <c r="B134" s="10" t="s">
        <v>357</v>
      </c>
      <c r="C134" s="11" t="s">
        <v>265</v>
      </c>
      <c r="D134" s="11" t="s">
        <v>101</v>
      </c>
      <c r="E134" s="12" t="s">
        <v>161</v>
      </c>
      <c r="F134" s="12" t="s">
        <v>169</v>
      </c>
      <c r="G134" s="13"/>
    </row>
    <row r="135" spans="1:7" ht="23.25" customHeight="1">
      <c r="A135" s="390" t="s">
        <v>495</v>
      </c>
      <c r="B135" s="390"/>
      <c r="C135" s="390"/>
      <c r="D135" s="7"/>
      <c r="E135" s="7"/>
      <c r="F135" s="6"/>
      <c r="G135" s="6"/>
    </row>
    <row r="136" spans="1:7" ht="19.5" customHeight="1">
      <c r="A136" s="391" t="s">
        <v>496</v>
      </c>
      <c r="B136" s="391"/>
      <c r="C136" s="391"/>
      <c r="D136" s="7"/>
      <c r="E136" s="392" t="s">
        <v>497</v>
      </c>
      <c r="F136" s="392"/>
      <c r="G136" s="392"/>
    </row>
    <row r="137" spans="1:7" ht="15.95" customHeight="1">
      <c r="A137" s="19" t="s">
        <v>498</v>
      </c>
      <c r="B137" s="19" t="s">
        <v>1</v>
      </c>
      <c r="C137" s="19" t="s">
        <v>359</v>
      </c>
      <c r="D137" s="7"/>
      <c r="E137" s="405" t="s">
        <v>499</v>
      </c>
      <c r="F137" s="405"/>
      <c r="G137" s="405"/>
    </row>
    <row r="138" spans="1:7" ht="15.95" customHeight="1">
      <c r="A138" s="20" t="s">
        <v>500</v>
      </c>
      <c r="B138" s="21" t="s">
        <v>297</v>
      </c>
      <c r="C138" s="22">
        <v>1</v>
      </c>
      <c r="D138" s="7"/>
      <c r="E138" s="405"/>
      <c r="F138" s="405"/>
      <c r="G138" s="405"/>
    </row>
    <row r="139" spans="1:7" ht="15.95" customHeight="1">
      <c r="A139" s="20" t="s">
        <v>501</v>
      </c>
      <c r="B139" s="21" t="s">
        <v>353</v>
      </c>
      <c r="C139" s="22">
        <v>1</v>
      </c>
      <c r="D139" s="7"/>
      <c r="E139" s="393"/>
      <c r="F139" s="393"/>
      <c r="G139" s="393"/>
    </row>
    <row r="140" spans="1:7" ht="15.95" customHeight="1">
      <c r="A140" s="20" t="s">
        <v>97</v>
      </c>
      <c r="B140" s="21" t="s">
        <v>315</v>
      </c>
      <c r="C140" s="22">
        <v>1</v>
      </c>
      <c r="D140" s="7"/>
      <c r="E140" s="394" t="s">
        <v>502</v>
      </c>
      <c r="F140" s="394"/>
      <c r="G140" s="394"/>
    </row>
    <row r="141" spans="1:7" ht="15.95" customHeight="1">
      <c r="A141" s="20" t="s">
        <v>101</v>
      </c>
      <c r="B141" s="21" t="s">
        <v>149</v>
      </c>
      <c r="C141" s="22">
        <v>1</v>
      </c>
      <c r="D141" s="7"/>
      <c r="E141" s="405" t="s">
        <v>503</v>
      </c>
      <c r="F141" s="405"/>
      <c r="G141" s="405"/>
    </row>
    <row r="142" spans="1:7" ht="15.95" customHeight="1">
      <c r="A142" s="20" t="s">
        <v>102</v>
      </c>
      <c r="B142" s="21" t="s">
        <v>212</v>
      </c>
      <c r="C142" s="22">
        <v>1</v>
      </c>
      <c r="D142" s="7"/>
      <c r="E142" s="405"/>
      <c r="F142" s="405"/>
      <c r="G142" s="405"/>
    </row>
    <row r="143" spans="1:7" ht="15.95" customHeight="1">
      <c r="A143" s="20" t="s">
        <v>98</v>
      </c>
      <c r="B143" s="21" t="s">
        <v>237</v>
      </c>
      <c r="C143" s="22">
        <v>1</v>
      </c>
      <c r="D143" s="7"/>
      <c r="E143" s="393"/>
      <c r="F143" s="393"/>
      <c r="G143" s="393"/>
    </row>
    <row r="144" spans="1:7" ht="15.95" customHeight="1">
      <c r="A144" s="20" t="s">
        <v>103</v>
      </c>
      <c r="B144" s="21" t="s">
        <v>246</v>
      </c>
      <c r="C144" s="22">
        <v>1</v>
      </c>
      <c r="D144" s="7"/>
      <c r="E144" s="394" t="s">
        <v>504</v>
      </c>
      <c r="F144" s="394"/>
      <c r="G144" s="394"/>
    </row>
    <row r="145" spans="1:7" ht="15.95" customHeight="1">
      <c r="A145" s="20" t="s">
        <v>505</v>
      </c>
      <c r="B145" s="21" t="s">
        <v>258</v>
      </c>
      <c r="C145" s="22">
        <v>1</v>
      </c>
      <c r="D145" s="7"/>
      <c r="E145" s="416" t="s">
        <v>506</v>
      </c>
      <c r="F145" s="416"/>
      <c r="G145" s="416"/>
    </row>
    <row r="146" spans="1:7" ht="15.95" customHeight="1">
      <c r="A146" s="20" t="s">
        <v>507</v>
      </c>
      <c r="B146" s="21" t="s">
        <v>283</v>
      </c>
      <c r="C146" s="22">
        <v>1</v>
      </c>
      <c r="D146" s="7"/>
      <c r="E146" s="416"/>
      <c r="F146" s="416"/>
      <c r="G146" s="416"/>
    </row>
    <row r="147" spans="1:7" ht="15.95" customHeight="1">
      <c r="A147" s="20" t="s">
        <v>508</v>
      </c>
      <c r="B147" s="21" t="s">
        <v>230</v>
      </c>
      <c r="C147" s="22">
        <v>1</v>
      </c>
      <c r="D147" s="7"/>
      <c r="E147" s="393"/>
      <c r="F147" s="393"/>
      <c r="G147" s="393"/>
    </row>
    <row r="148" spans="1:7" ht="15.95" customHeight="1">
      <c r="A148" s="20" t="s">
        <v>509</v>
      </c>
      <c r="B148" s="21" t="s">
        <v>360</v>
      </c>
      <c r="C148" s="22">
        <v>1</v>
      </c>
      <c r="D148" s="7"/>
      <c r="E148" s="423" t="s">
        <v>510</v>
      </c>
      <c r="F148" s="423"/>
      <c r="G148" s="423"/>
    </row>
    <row r="149" spans="1:7" ht="15.95" customHeight="1">
      <c r="A149" s="20" t="s">
        <v>511</v>
      </c>
      <c r="B149" s="21" t="s">
        <v>276</v>
      </c>
      <c r="C149" s="22">
        <v>1</v>
      </c>
      <c r="D149" s="7"/>
      <c r="E149" s="423"/>
      <c r="F149" s="423"/>
      <c r="G149" s="423"/>
    </row>
    <row r="150" spans="1:7" ht="15.95" customHeight="1">
      <c r="A150" s="20" t="s">
        <v>512</v>
      </c>
      <c r="B150" s="21" t="s">
        <v>321</v>
      </c>
      <c r="C150" s="22">
        <v>1</v>
      </c>
      <c r="D150" s="7"/>
      <c r="E150" s="421" t="s">
        <v>513</v>
      </c>
      <c r="F150" s="422"/>
      <c r="G150" s="422"/>
    </row>
    <row r="151" spans="1:7" ht="15.95" customHeight="1">
      <c r="A151" s="20" t="s">
        <v>514</v>
      </c>
      <c r="B151" s="21" t="s">
        <v>336</v>
      </c>
      <c r="C151" s="22">
        <v>2</v>
      </c>
      <c r="D151" s="7"/>
      <c r="E151" s="422"/>
      <c r="F151" s="422"/>
      <c r="G151" s="422"/>
    </row>
    <row r="152" spans="1:7" ht="15.95" customHeight="1">
      <c r="A152" s="20" t="s">
        <v>515</v>
      </c>
      <c r="B152" s="21" t="s">
        <v>160</v>
      </c>
      <c r="C152" s="22">
        <v>2</v>
      </c>
      <c r="D152" s="7"/>
      <c r="E152" s="417" t="s">
        <v>516</v>
      </c>
      <c r="F152" s="418"/>
      <c r="G152" s="418"/>
    </row>
    <row r="153" spans="1:7" ht="15.95" customHeight="1">
      <c r="A153" s="20" t="s">
        <v>517</v>
      </c>
      <c r="B153" s="21" t="s">
        <v>186</v>
      </c>
      <c r="C153" s="22">
        <v>2</v>
      </c>
      <c r="D153" s="7"/>
      <c r="E153" s="418"/>
      <c r="F153" s="418"/>
      <c r="G153" s="418"/>
    </row>
    <row r="154" spans="1:7" ht="15.95" customHeight="1">
      <c r="A154" s="20" t="s">
        <v>518</v>
      </c>
      <c r="B154" s="21" t="s">
        <v>202</v>
      </c>
      <c r="C154" s="22">
        <v>2</v>
      </c>
      <c r="D154" s="7"/>
      <c r="E154" s="418"/>
      <c r="F154" s="418"/>
      <c r="G154" s="418"/>
    </row>
    <row r="155" spans="1:7" ht="15.95" customHeight="1">
      <c r="A155" s="20" t="s">
        <v>519</v>
      </c>
      <c r="B155" s="21" t="s">
        <v>221</v>
      </c>
      <c r="C155" s="22">
        <v>2</v>
      </c>
      <c r="D155" s="7"/>
      <c r="E155" s="418"/>
      <c r="F155" s="418"/>
      <c r="G155" s="418"/>
    </row>
    <row r="156" spans="1:7" ht="15.95" customHeight="1">
      <c r="A156" s="20" t="s">
        <v>520</v>
      </c>
      <c r="B156" s="21" t="s">
        <v>310</v>
      </c>
      <c r="C156" s="22">
        <v>2</v>
      </c>
      <c r="D156" s="7"/>
      <c r="E156" s="417" t="s">
        <v>521</v>
      </c>
      <c r="F156" s="418"/>
      <c r="G156" s="418"/>
    </row>
    <row r="157" spans="1:7" ht="15.95" customHeight="1">
      <c r="A157" s="20" t="s">
        <v>522</v>
      </c>
      <c r="B157" s="21" t="s">
        <v>318</v>
      </c>
      <c r="C157" s="22">
        <v>2</v>
      </c>
      <c r="D157" s="7"/>
      <c r="E157" s="418"/>
      <c r="F157" s="418"/>
      <c r="G157" s="418"/>
    </row>
    <row r="158" spans="1:7" ht="15.95" customHeight="1">
      <c r="A158" s="20" t="s">
        <v>523</v>
      </c>
      <c r="B158" s="21" t="s">
        <v>172</v>
      </c>
      <c r="C158" s="22">
        <v>2</v>
      </c>
      <c r="D158" s="7"/>
      <c r="E158" s="418"/>
      <c r="F158" s="418"/>
      <c r="G158" s="418"/>
    </row>
    <row r="159" spans="1:7" ht="15.95" customHeight="1">
      <c r="A159" s="20" t="s">
        <v>524</v>
      </c>
      <c r="B159" s="21" t="s">
        <v>347</v>
      </c>
      <c r="C159" s="22">
        <v>2</v>
      </c>
      <c r="D159" s="7"/>
      <c r="E159" s="419" t="s">
        <v>525</v>
      </c>
      <c r="F159" s="420"/>
      <c r="G159" s="420"/>
    </row>
    <row r="160" spans="1:7" ht="15.95" customHeight="1">
      <c r="A160" s="20" t="s">
        <v>526</v>
      </c>
      <c r="B160" s="21" t="s">
        <v>361</v>
      </c>
      <c r="C160" s="22">
        <v>2</v>
      </c>
      <c r="D160" s="7"/>
      <c r="E160" s="420"/>
      <c r="F160" s="420"/>
      <c r="G160" s="420"/>
    </row>
    <row r="161" spans="1:8">
      <c r="D161" s="7"/>
      <c r="E161" s="7"/>
      <c r="F161" s="6"/>
      <c r="G161" s="6"/>
    </row>
    <row r="162" spans="1:8" ht="20.25" customHeight="1">
      <c r="A162" s="409" t="s">
        <v>527</v>
      </c>
      <c r="B162" s="409"/>
      <c r="C162" s="409"/>
      <c r="D162" s="409"/>
      <c r="E162" s="409"/>
      <c r="F162" s="409"/>
      <c r="G162" s="409"/>
    </row>
    <row r="163" spans="1:8" ht="30" customHeight="1">
      <c r="A163" s="19" t="s">
        <v>359</v>
      </c>
      <c r="B163" s="410" t="s">
        <v>528</v>
      </c>
      <c r="C163" s="411"/>
      <c r="D163" s="412"/>
      <c r="E163" s="413" t="s">
        <v>161</v>
      </c>
      <c r="F163" s="413"/>
      <c r="G163" s="413"/>
    </row>
    <row r="164" spans="1:8" ht="35.1" customHeight="1">
      <c r="A164" s="23">
        <v>1</v>
      </c>
      <c r="B164" s="414" t="s">
        <v>529</v>
      </c>
      <c r="C164" s="407"/>
      <c r="D164" s="408"/>
      <c r="E164" s="415" t="s">
        <v>530</v>
      </c>
      <c r="F164" s="403"/>
      <c r="G164" s="404"/>
      <c r="H164" s="24"/>
    </row>
    <row r="165" spans="1:8" ht="35.1" customHeight="1">
      <c r="A165" s="23">
        <v>2</v>
      </c>
      <c r="B165" s="406" t="s">
        <v>530</v>
      </c>
      <c r="C165" s="407"/>
      <c r="D165" s="408"/>
      <c r="E165" s="402" t="s">
        <v>529</v>
      </c>
      <c r="F165" s="403"/>
      <c r="G165" s="404"/>
      <c r="H165" s="25"/>
    </row>
    <row r="166" spans="1:8" ht="60" customHeight="1">
      <c r="A166" s="23">
        <v>3</v>
      </c>
      <c r="B166" s="414" t="s">
        <v>531</v>
      </c>
      <c r="C166" s="407"/>
      <c r="D166" s="408"/>
      <c r="E166" s="424"/>
      <c r="F166" s="424"/>
      <c r="G166" s="424"/>
      <c r="H166" s="24"/>
    </row>
    <row r="167" spans="1:8" ht="60" customHeight="1">
      <c r="A167" s="23">
        <v>4</v>
      </c>
      <c r="B167" s="399"/>
      <c r="C167" s="400"/>
      <c r="D167" s="401"/>
      <c r="E167" s="402" t="s">
        <v>531</v>
      </c>
      <c r="F167" s="403"/>
      <c r="G167" s="404"/>
    </row>
  </sheetData>
  <sheetProtection password="CBB8" sheet="1" objects="1" scenarios="1"/>
  <mergeCells count="56">
    <mergeCell ref="E159:G160"/>
    <mergeCell ref="E152:G155"/>
    <mergeCell ref="E150:G151"/>
    <mergeCell ref="E148:G149"/>
    <mergeCell ref="B166:D166"/>
    <mergeCell ref="E166:G166"/>
    <mergeCell ref="B167:D167"/>
    <mergeCell ref="E167:G167"/>
    <mergeCell ref="E137:G138"/>
    <mergeCell ref="E141:G142"/>
    <mergeCell ref="B165:D165"/>
    <mergeCell ref="E165:G165"/>
    <mergeCell ref="E147:G147"/>
    <mergeCell ref="A162:G162"/>
    <mergeCell ref="B163:D163"/>
    <mergeCell ref="E163:G163"/>
    <mergeCell ref="B164:D164"/>
    <mergeCell ref="E164:G164"/>
    <mergeCell ref="E145:G146"/>
    <mergeCell ref="E156:G158"/>
    <mergeCell ref="E143:G143"/>
    <mergeCell ref="E144:G144"/>
    <mergeCell ref="A25:G25"/>
    <mergeCell ref="A26:G26"/>
    <mergeCell ref="A27:G27"/>
    <mergeCell ref="A30:G30"/>
    <mergeCell ref="A31:G31"/>
    <mergeCell ref="A135:C135"/>
    <mergeCell ref="A136:C136"/>
    <mergeCell ref="E136:G136"/>
    <mergeCell ref="E139:G139"/>
    <mergeCell ref="E140:G140"/>
    <mergeCell ref="A23:G23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11:G11"/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</mergeCells>
  <phoneticPr fontId="10" type="noConversion"/>
  <printOptions horizontalCentered="1"/>
  <pageMargins left="0.98" right="0.98" top="0.79" bottom="0.79" header="0.51" footer="0.51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非师范类</vt:lpstr>
      <vt:lpstr>师范类</vt:lpstr>
      <vt:lpstr>使用说明</vt:lpstr>
      <vt:lpstr>非师范类!Print_Area</vt:lpstr>
      <vt:lpstr>师范类!Print_Area</vt:lpstr>
      <vt:lpstr>使用说明!Print_Area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系统管理员</cp:lastModifiedBy>
  <cp:lastPrinted>2017-11-05T12:11:51Z</cp:lastPrinted>
  <dcterms:created xsi:type="dcterms:W3CDTF">2006-09-13T11:21:51Z</dcterms:created>
  <dcterms:modified xsi:type="dcterms:W3CDTF">2019-08-27T02:11:37Z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